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425"/>
  <workbookPr filterPrivacy="1"/>
  <xr:revisionPtr revIDLastSave="0" documentId="13_ncr:1_{F5171341-3E0C-4CA5-8DDE-709C68E5BB40}" xr6:coauthVersionLast="43" xr6:coauthVersionMax="43" xr10:uidLastSave="{00000000-0000-0000-0000-000000000000}"/>
  <bookViews>
    <workbookView xWindow="-120" yWindow="-120" windowWidth="20730" windowHeight="11160" xr2:uid="{00000000-000D-0000-FFFF-FFFF00000000}"/>
  </bookViews>
  <sheets>
    <sheet name="Capa" sheetId="1" r:id="rId1"/>
    <sheet name="% CDI" sheetId="2" r:id="rId2"/>
    <sheet name="API (Suitability)" sheetId="3" r:id="rId3"/>
    <sheet name="Cálculo - Corretora" sheetId="4" r:id="rId4"/>
    <sheet name="Cálculo de Taxas" sheetId="5" r:id="rId5"/>
    <sheet name="Cálculos Financeiros" sheetId="6" r:id="rId6"/>
    <sheet name="Carteira dois Clicks" sheetId="7" r:id="rId7"/>
    <sheet name="Classificação Anbima" sheetId="8" r:id="rId8"/>
    <sheet name="Códigos STVM" sheetId="9" r:id="rId9"/>
    <sheet name="Come Cotas x VGBL" sheetId="10" r:id="rId10"/>
    <sheet name="Custódia - Tesouro" sheetId="12" r:id="rId11"/>
    <sheet name="Datas - IR" sheetId="13" r:id="rId12"/>
    <sheet name="Divisão de Carteira" sheetId="14" r:id="rId13"/>
    <sheet name="FGC" sheetId="16" r:id="rId14"/>
    <sheet name="IOF" sheetId="17" r:id="rId15"/>
    <sheet name="IR no Rendimento" sheetId="18" r:id="rId16"/>
    <sheet name="Ligações" sheetId="19" r:id="rId17"/>
    <sheet name="Migração de Fundos" sheetId="20" r:id="rId18"/>
    <sheet name="Notícias" sheetId="21" r:id="rId19"/>
    <sheet name="Operações Matemáticas" sheetId="22" r:id="rId20"/>
    <sheet name="PJ" sheetId="23" r:id="rId21"/>
    <sheet name="Porcentagem" sheetId="24" r:id="rId22"/>
    <sheet name="Pós x Pré Fixados" sheetId="25" r:id="rId23"/>
    <sheet name="Proporção - VGBL" sheetId="26" r:id="rId24"/>
    <sheet name="PU" sheetId="27" r:id="rId25"/>
    <sheet name="Ratings" sheetId="28" r:id="rId26"/>
    <sheet name="Renda Vitalícia" sheetId="29" r:id="rId27"/>
    <sheet name="S&amp;P 500" sheetId="30" r:id="rId28"/>
    <sheet name="Sharpe da Carteira" sheetId="31" r:id="rId29"/>
    <sheet name="Simulação - Yield" sheetId="32" r:id="rId30"/>
    <sheet name="STVM" sheetId="33" r:id="rId31"/>
    <sheet name="Tabela de IR" sheetId="34" r:id="rId32"/>
    <sheet name="Taxa de ADM" sheetId="35" r:id="rId33"/>
    <sheet name="Tipos de Fundos" sheetId="36" r:id="rId3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22" i="32" l="1"/>
  <c r="M22" i="32"/>
  <c r="T21" i="32"/>
  <c r="M21" i="32"/>
  <c r="M16" i="32"/>
  <c r="T20" i="32"/>
  <c r="M20" i="32"/>
  <c r="M15" i="32"/>
  <c r="T19" i="32"/>
  <c r="M19" i="32"/>
  <c r="T17" i="32"/>
  <c r="M17" i="32"/>
  <c r="T16" i="32"/>
  <c r="T15" i="32"/>
  <c r="F12" i="32"/>
  <c r="F13" i="32" s="1"/>
  <c r="T14" i="32"/>
  <c r="M14" i="32"/>
  <c r="T13" i="32"/>
  <c r="M13" i="32"/>
  <c r="T12" i="32"/>
  <c r="M12" i="32"/>
  <c r="E13" i="10"/>
  <c r="I6" i="10" s="1"/>
  <c r="I7" i="10" s="1"/>
  <c r="I8" i="10" s="1"/>
  <c r="I9" i="10" s="1"/>
  <c r="I10" i="10" s="1"/>
  <c r="I11" i="10" s="1"/>
  <c r="I12" i="10" s="1"/>
  <c r="I13" i="10" s="1"/>
  <c r="I14" i="10" s="1"/>
  <c r="I15" i="10" s="1"/>
  <c r="I16" i="10" s="1"/>
  <c r="I17" i="10" s="1"/>
  <c r="I18" i="10" s="1"/>
  <c r="I19" i="10" s="1"/>
  <c r="I20" i="10" s="1"/>
  <c r="I21" i="10" s="1"/>
  <c r="I22" i="10" s="1"/>
  <c r="I23" i="10" s="1"/>
  <c r="I24" i="10" s="1"/>
  <c r="I25" i="10" s="1"/>
  <c r="I26" i="10" s="1"/>
  <c r="I27" i="10" s="1"/>
  <c r="I28" i="10" s="1"/>
  <c r="I29" i="10" s="1"/>
  <c r="I30" i="10" s="1"/>
  <c r="I31" i="10" s="1"/>
  <c r="I32" i="10" s="1"/>
  <c r="I33" i="10" s="1"/>
  <c r="I34" i="10" s="1"/>
  <c r="I35" i="10" s="1"/>
  <c r="I36" i="10" s="1"/>
  <c r="I37" i="10" s="1"/>
  <c r="I38" i="10" s="1"/>
  <c r="I39" i="10" s="1"/>
  <c r="I40" i="10" s="1"/>
  <c r="I41" i="10" s="1"/>
  <c r="I42" i="10" s="1"/>
  <c r="I43" i="10" s="1"/>
  <c r="I44" i="10" s="1"/>
  <c r="I45" i="10" s="1"/>
  <c r="I46" i="10" s="1"/>
  <c r="I47" i="10" s="1"/>
  <c r="I48" i="10" s="1"/>
  <c r="I49" i="10" s="1"/>
  <c r="I50" i="10" s="1"/>
  <c r="I51" i="10" s="1"/>
  <c r="I52" i="10" s="1"/>
  <c r="I53" i="10" s="1"/>
  <c r="I54" i="10" s="1"/>
  <c r="I55" i="10" s="1"/>
  <c r="I56" i="10" s="1"/>
  <c r="I57" i="10" s="1"/>
  <c r="I58" i="10" s="1"/>
  <c r="I59" i="10" s="1"/>
  <c r="I60" i="10" s="1"/>
  <c r="I61" i="10" s="1"/>
  <c r="I62" i="10" s="1"/>
  <c r="I63" i="10" s="1"/>
  <c r="I64" i="10" s="1"/>
  <c r="I65" i="10" s="1"/>
  <c r="I66" i="10" s="1"/>
  <c r="I67" i="10" s="1"/>
  <c r="I68" i="10" s="1"/>
  <c r="I69" i="10" s="1"/>
  <c r="I70" i="10" s="1"/>
  <c r="I71" i="10" s="1"/>
  <c r="I72" i="10" s="1"/>
  <c r="I73" i="10" s="1"/>
  <c r="I74" i="10" s="1"/>
  <c r="I75" i="10" s="1"/>
  <c r="I76" i="10" s="1"/>
  <c r="I77" i="10" s="1"/>
  <c r="I78" i="10" s="1"/>
  <c r="I79" i="10" s="1"/>
  <c r="I80" i="10" s="1"/>
  <c r="I81" i="10" s="1"/>
  <c r="I82" i="10" s="1"/>
  <c r="I83" i="10" s="1"/>
  <c r="I84" i="10" s="1"/>
  <c r="I85" i="10" s="1"/>
  <c r="I86" i="10" s="1"/>
  <c r="I87" i="10" s="1"/>
  <c r="I88" i="10" s="1"/>
  <c r="I89" i="10" s="1"/>
  <c r="I90" i="10" s="1"/>
  <c r="I91" i="10" s="1"/>
  <c r="I92" i="10" s="1"/>
  <c r="I93" i="10" s="1"/>
  <c r="I94" i="10" s="1"/>
  <c r="I95" i="10" s="1"/>
  <c r="I96" i="10" s="1"/>
  <c r="I97" i="10" s="1"/>
  <c r="I98" i="10" s="1"/>
  <c r="I99" i="10" s="1"/>
  <c r="I100" i="10" s="1"/>
  <c r="I101" i="10" s="1"/>
  <c r="I102" i="10" s="1"/>
  <c r="I103" i="10" s="1"/>
  <c r="I104" i="10" s="1"/>
  <c r="I105" i="10" s="1"/>
  <c r="I106" i="10" s="1"/>
  <c r="I107" i="10" s="1"/>
  <c r="I108" i="10" s="1"/>
  <c r="I109" i="10" s="1"/>
  <c r="I110" i="10" s="1"/>
  <c r="I111" i="10" s="1"/>
  <c r="I112" i="10" s="1"/>
  <c r="I113" i="10" s="1"/>
  <c r="I114" i="10" s="1"/>
  <c r="I115" i="10" s="1"/>
  <c r="I116" i="10" s="1"/>
  <c r="I117" i="10" s="1"/>
  <c r="I118" i="10" s="1"/>
  <c r="I119" i="10" s="1"/>
  <c r="I120" i="10" s="1"/>
  <c r="I121" i="10" s="1"/>
  <c r="I122" i="10" s="1"/>
  <c r="I123" i="10" s="1"/>
  <c r="I124" i="10" s="1"/>
  <c r="I125" i="10" s="1"/>
  <c r="M6" i="10"/>
  <c r="Q6" i="10" s="1"/>
  <c r="M7" i="10" s="1"/>
  <c r="Q7" i="10" s="1"/>
  <c r="M8" i="10" s="1"/>
  <c r="Q8" i="10" s="1"/>
  <c r="M9" i="10" s="1"/>
  <c r="E18" i="10"/>
  <c r="E14" i="10"/>
  <c r="J27" i="35"/>
  <c r="K27" i="35"/>
  <c r="L27" i="35"/>
  <c r="M27" i="35"/>
  <c r="N27" i="35"/>
  <c r="O27" i="35"/>
  <c r="P27" i="35"/>
  <c r="Q27" i="35"/>
  <c r="R27" i="35"/>
  <c r="S27" i="35"/>
  <c r="T27" i="35"/>
  <c r="I27" i="35"/>
  <c r="I11" i="35"/>
  <c r="I32" i="35"/>
  <c r="C28" i="35"/>
  <c r="T26" i="35"/>
  <c r="T28" i="35" s="1"/>
  <c r="S26" i="35"/>
  <c r="S28" i="35" s="1"/>
  <c r="R26" i="35"/>
  <c r="R28" i="35" s="1"/>
  <c r="Q26" i="35"/>
  <c r="P26" i="35"/>
  <c r="P28" i="35" s="1"/>
  <c r="O26" i="35"/>
  <c r="O28" i="35" s="1"/>
  <c r="N26" i="35"/>
  <c r="N28" i="35" s="1"/>
  <c r="M26" i="35"/>
  <c r="L26" i="35"/>
  <c r="L28" i="35" s="1"/>
  <c r="K26" i="35"/>
  <c r="K28" i="35" s="1"/>
  <c r="J26" i="35"/>
  <c r="J28" i="35" s="1"/>
  <c r="I26" i="35"/>
  <c r="I18" i="35"/>
  <c r="I17" i="35"/>
  <c r="I16" i="35"/>
  <c r="I15" i="35"/>
  <c r="I14" i="35"/>
  <c r="J12" i="35"/>
  <c r="K12" i="35"/>
  <c r="L12" i="35"/>
  <c r="M12" i="35"/>
  <c r="N12" i="35"/>
  <c r="O12" i="35"/>
  <c r="P12" i="35"/>
  <c r="Q12" i="35"/>
  <c r="R12" i="35"/>
  <c r="S12" i="35"/>
  <c r="T12" i="35"/>
  <c r="I12" i="35"/>
  <c r="J11" i="35"/>
  <c r="K11" i="35"/>
  <c r="L11" i="35"/>
  <c r="M11" i="35"/>
  <c r="N11" i="35"/>
  <c r="O11" i="35"/>
  <c r="P11" i="35"/>
  <c r="Q11" i="35"/>
  <c r="R11" i="35"/>
  <c r="S11" i="35"/>
  <c r="T11" i="35"/>
  <c r="T10" i="35"/>
  <c r="S10" i="35"/>
  <c r="R10" i="35"/>
  <c r="Q10" i="35"/>
  <c r="P10" i="35"/>
  <c r="O10" i="35"/>
  <c r="N10" i="35"/>
  <c r="M10" i="35"/>
  <c r="L10" i="35"/>
  <c r="K10" i="35"/>
  <c r="J10" i="35"/>
  <c r="I10" i="35"/>
  <c r="C12" i="35"/>
  <c r="N10" i="25"/>
  <c r="N12" i="25" s="1"/>
  <c r="N14" i="25" s="1"/>
  <c r="N17" i="25" s="1"/>
  <c r="N9" i="25"/>
  <c r="N11" i="25" s="1"/>
  <c r="N8" i="25"/>
  <c r="N6" i="25"/>
  <c r="F13" i="12"/>
  <c r="F12" i="12" s="1"/>
  <c r="J6" i="12" s="1"/>
  <c r="P6" i="12" s="1"/>
  <c r="J7" i="12" s="1"/>
  <c r="P7" i="12" s="1"/>
  <c r="J8" i="12" s="1"/>
  <c r="P8" i="12" s="1"/>
  <c r="J9" i="12" s="1"/>
  <c r="P9" i="12" s="1"/>
  <c r="J10" i="12" s="1"/>
  <c r="P10" i="12" s="1"/>
  <c r="J11" i="12" s="1"/>
  <c r="F14" i="32" l="1"/>
  <c r="Q9" i="10"/>
  <c r="M10" i="10" s="1"/>
  <c r="E16" i="10"/>
  <c r="E15" i="10"/>
  <c r="M28" i="35"/>
  <c r="Q28" i="35"/>
  <c r="I30" i="35"/>
  <c r="I33" i="35" s="1"/>
  <c r="I28" i="35"/>
  <c r="I31" i="35" s="1"/>
  <c r="I34" i="35" s="1"/>
  <c r="N19" i="25"/>
  <c r="N13" i="25"/>
  <c r="L11" i="12"/>
  <c r="N11" i="12"/>
  <c r="O16" i="3"/>
  <c r="L16" i="3"/>
  <c r="I16" i="3"/>
  <c r="F16" i="3"/>
  <c r="N20" i="3"/>
  <c r="K20" i="3"/>
  <c r="H20" i="3"/>
  <c r="E20" i="3"/>
  <c r="O18" i="3"/>
  <c r="O17" i="3"/>
  <c r="O15" i="3"/>
  <c r="O14" i="3"/>
  <c r="O13" i="3"/>
  <c r="O12" i="3"/>
  <c r="O11" i="3"/>
  <c r="O10" i="3"/>
  <c r="L18" i="3"/>
  <c r="L17" i="3"/>
  <c r="L15" i="3"/>
  <c r="L14" i="3"/>
  <c r="L13" i="3"/>
  <c r="L12" i="3"/>
  <c r="L11" i="3"/>
  <c r="L10" i="3"/>
  <c r="I10" i="3"/>
  <c r="I18" i="3"/>
  <c r="I17" i="3"/>
  <c r="I15" i="3"/>
  <c r="I14" i="3"/>
  <c r="I13" i="3"/>
  <c r="I12" i="3"/>
  <c r="I11" i="3"/>
  <c r="F11" i="3"/>
  <c r="F12" i="3"/>
  <c r="F13" i="3"/>
  <c r="F14" i="3"/>
  <c r="F15" i="3"/>
  <c r="F17" i="3"/>
  <c r="F18" i="3"/>
  <c r="F10" i="3"/>
  <c r="Q10" i="10" l="1"/>
  <c r="M11" i="10" s="1"/>
  <c r="N16" i="25"/>
  <c r="N20" i="25"/>
  <c r="P11" i="12"/>
  <c r="J12" i="12" s="1"/>
  <c r="P12" i="12" s="1"/>
  <c r="J13" i="12" s="1"/>
  <c r="P13" i="12" s="1"/>
  <c r="J14" i="12" s="1"/>
  <c r="P14" i="12" s="1"/>
  <c r="J15" i="12" s="1"/>
  <c r="P15" i="12" s="1"/>
  <c r="J16" i="12" s="1"/>
  <c r="P16" i="12" s="1"/>
  <c r="J17" i="12" s="1"/>
  <c r="L17" i="12" s="1"/>
  <c r="F20" i="3"/>
  <c r="O20" i="3"/>
  <c r="L20" i="3"/>
  <c r="I20" i="3"/>
  <c r="G26" i="4"/>
  <c r="G25" i="4"/>
  <c r="G23" i="4"/>
  <c r="G22" i="4"/>
  <c r="G21" i="4"/>
  <c r="G20" i="4"/>
  <c r="G19" i="4"/>
  <c r="M18" i="4"/>
  <c r="G18" i="4"/>
  <c r="M17" i="4"/>
  <c r="M19" i="4" s="1"/>
  <c r="O11" i="10" l="1"/>
  <c r="N17" i="12"/>
  <c r="P17" i="12" s="1"/>
  <c r="J18" i="12" s="1"/>
  <c r="P18" i="12" s="1"/>
  <c r="J19" i="12" s="1"/>
  <c r="P19" i="12" s="1"/>
  <c r="J20" i="12" s="1"/>
  <c r="P20" i="12" s="1"/>
  <c r="J21" i="12" s="1"/>
  <c r="P21" i="12" s="1"/>
  <c r="J22" i="12" s="1"/>
  <c r="P22" i="12" s="1"/>
  <c r="J23" i="12" s="1"/>
  <c r="L23" i="12" s="1"/>
  <c r="M20" i="4"/>
  <c r="M21" i="4" s="1"/>
  <c r="M22" i="4" s="1"/>
  <c r="G17" i="4"/>
  <c r="Q11" i="10" l="1"/>
  <c r="M12" i="10" s="1"/>
  <c r="Q12" i="10" s="1"/>
  <c r="M13" i="10" s="1"/>
  <c r="N23" i="12"/>
  <c r="M23" i="4"/>
  <c r="M25" i="4"/>
  <c r="M26" i="4" s="1"/>
  <c r="I21" i="27"/>
  <c r="J14" i="27"/>
  <c r="M10" i="27"/>
  <c r="M12" i="27" s="1"/>
  <c r="G10" i="27"/>
  <c r="G12" i="27" s="1"/>
  <c r="Q13" i="10" l="1"/>
  <c r="M14" i="10" s="1"/>
  <c r="P23" i="12"/>
  <c r="J24" i="12" s="1"/>
  <c r="P24" i="12" s="1"/>
  <c r="J25" i="12" s="1"/>
  <c r="P25" i="12" s="1"/>
  <c r="J26" i="12" s="1"/>
  <c r="P26" i="12" s="1"/>
  <c r="J27" i="12" s="1"/>
  <c r="P27" i="12" s="1"/>
  <c r="J28" i="12" s="1"/>
  <c r="P28" i="12" s="1"/>
  <c r="J29" i="12" s="1"/>
  <c r="G28" i="4"/>
  <c r="K19" i="6"/>
  <c r="F19" i="6"/>
  <c r="P11" i="6"/>
  <c r="K11" i="6"/>
  <c r="F11" i="6"/>
  <c r="K11" i="29"/>
  <c r="M19" i="22"/>
  <c r="H19" i="22"/>
  <c r="C19" i="22"/>
  <c r="M15" i="22"/>
  <c r="H15" i="22"/>
  <c r="C15" i="22"/>
  <c r="M11" i="22"/>
  <c r="H11" i="22"/>
  <c r="C11" i="22"/>
  <c r="M7" i="22"/>
  <c r="H7" i="22"/>
  <c r="C7" i="22"/>
  <c r="O20" i="7"/>
  <c r="J20" i="7"/>
  <c r="L11" i="7" s="1"/>
  <c r="C20" i="7"/>
  <c r="E12" i="7" s="1"/>
  <c r="Q14" i="10" l="1"/>
  <c r="M15" i="10" s="1"/>
  <c r="N29" i="12"/>
  <c r="L29" i="12"/>
  <c r="E9" i="7"/>
  <c r="E15" i="7"/>
  <c r="E11" i="7"/>
  <c r="E18" i="7"/>
  <c r="E14" i="7"/>
  <c r="E10" i="7"/>
  <c r="E17" i="7"/>
  <c r="E13" i="7"/>
  <c r="E16" i="7"/>
  <c r="L18" i="7"/>
  <c r="L14" i="7"/>
  <c r="L10" i="7"/>
  <c r="L17" i="7"/>
  <c r="L13" i="7"/>
  <c r="L16" i="7"/>
  <c r="L12" i="7"/>
  <c r="L9" i="7"/>
  <c r="L15" i="7"/>
  <c r="P19" i="14"/>
  <c r="P18" i="14"/>
  <c r="P17" i="14"/>
  <c r="P16" i="14"/>
  <c r="P15" i="14"/>
  <c r="P14" i="14"/>
  <c r="P13" i="14"/>
  <c r="P12" i="14"/>
  <c r="P11" i="14"/>
  <c r="P10" i="14"/>
  <c r="N21" i="14"/>
  <c r="N25" i="14" s="1"/>
  <c r="D21" i="14"/>
  <c r="D25" i="14" s="1"/>
  <c r="E11" i="14"/>
  <c r="E12" i="14"/>
  <c r="E13" i="14"/>
  <c r="E14" i="14"/>
  <c r="E15" i="14"/>
  <c r="E16" i="14"/>
  <c r="E17" i="14"/>
  <c r="E18" i="14"/>
  <c r="E19" i="14"/>
  <c r="E10" i="14"/>
  <c r="G21" i="24"/>
  <c r="G15" i="24"/>
  <c r="G9" i="24"/>
  <c r="L17" i="31"/>
  <c r="J17" i="31"/>
  <c r="H17" i="31"/>
  <c r="Q15" i="10" l="1"/>
  <c r="M16" i="10" s="1"/>
  <c r="P29" i="12"/>
  <c r="J30" i="12" s="1"/>
  <c r="P30" i="12" s="1"/>
  <c r="J31" i="12" s="1"/>
  <c r="P31" i="12" s="1"/>
  <c r="J32" i="12" s="1"/>
  <c r="P32" i="12" s="1"/>
  <c r="J33" i="12" s="1"/>
  <c r="P33" i="12" s="1"/>
  <c r="J34" i="12" s="1"/>
  <c r="P34" i="12" s="1"/>
  <c r="J35" i="12" s="1"/>
  <c r="E21" i="14"/>
  <c r="E25" i="14" s="1"/>
  <c r="P21" i="14"/>
  <c r="P25" i="14" s="1"/>
  <c r="H20" i="7"/>
  <c r="L20" i="7"/>
  <c r="E20" i="7"/>
  <c r="I16" i="26"/>
  <c r="I15" i="26"/>
  <c r="I17" i="26"/>
  <c r="L9" i="26"/>
  <c r="L7" i="26"/>
  <c r="L6" i="26"/>
  <c r="I9" i="26"/>
  <c r="N16" i="20"/>
  <c r="H16" i="20"/>
  <c r="H18" i="20" s="1"/>
  <c r="Q11" i="18"/>
  <c r="Q12" i="18"/>
  <c r="K12" i="18"/>
  <c r="K11" i="18"/>
  <c r="E11" i="18"/>
  <c r="E12" i="18" s="1"/>
  <c r="M20" i="17"/>
  <c r="Q16" i="10" l="1"/>
  <c r="M17" i="10" s="1"/>
  <c r="O17" i="10" s="1"/>
  <c r="N35" i="12"/>
  <c r="L35" i="12"/>
  <c r="K18" i="2"/>
  <c r="Q17" i="10" l="1"/>
  <c r="M18" i="10" s="1"/>
  <c r="P35" i="12"/>
  <c r="J36" i="12" s="1"/>
  <c r="P36" i="12" s="1"/>
  <c r="J37" i="12" s="1"/>
  <c r="P37" i="12" s="1"/>
  <c r="J38" i="12" s="1"/>
  <c r="P38" i="12" s="1"/>
  <c r="J39" i="12" s="1"/>
  <c r="P39" i="12" s="1"/>
  <c r="J40" i="12" s="1"/>
  <c r="P40" i="12" s="1"/>
  <c r="J41" i="12" s="1"/>
  <c r="L41" i="12" s="1"/>
  <c r="H15" i="13"/>
  <c r="O19" i="5"/>
  <c r="H19" i="5"/>
  <c r="M15" i="5"/>
  <c r="G15" i="5"/>
  <c r="M11" i="5"/>
  <c r="G11" i="5"/>
  <c r="M7" i="5"/>
  <c r="G7" i="5"/>
  <c r="E15" i="2"/>
  <c r="Q18" i="10" l="1"/>
  <c r="M19" i="10" s="1"/>
  <c r="N41" i="12"/>
  <c r="P41" i="12"/>
  <c r="J42" i="12" s="1"/>
  <c r="P42" i="12" s="1"/>
  <c r="J43" i="12" s="1"/>
  <c r="P43" i="12" s="1"/>
  <c r="J44" i="12" s="1"/>
  <c r="P44" i="12" s="1"/>
  <c r="J45" i="12" s="1"/>
  <c r="P45" i="12" s="1"/>
  <c r="J46" i="12" s="1"/>
  <c r="P46" i="12" s="1"/>
  <c r="J47" i="12" s="1"/>
  <c r="L47" i="12" s="1"/>
  <c r="Q19" i="10" l="1"/>
  <c r="M20" i="10" s="1"/>
  <c r="N47" i="12"/>
  <c r="P47" i="12" s="1"/>
  <c r="J48" i="12" s="1"/>
  <c r="P48" i="12" s="1"/>
  <c r="J49" i="12" s="1"/>
  <c r="P49" i="12" s="1"/>
  <c r="J50" i="12" s="1"/>
  <c r="P50" i="12" s="1"/>
  <c r="J51" i="12" s="1"/>
  <c r="P51" i="12" s="1"/>
  <c r="J52" i="12" s="1"/>
  <c r="P52" i="12" s="1"/>
  <c r="J53" i="12" s="1"/>
  <c r="Q20" i="10" l="1"/>
  <c r="M21" i="10" s="1"/>
  <c r="L53" i="12"/>
  <c r="N53" i="12"/>
  <c r="Q21" i="10" l="1"/>
  <c r="M22" i="10" s="1"/>
  <c r="P53" i="12"/>
  <c r="J54" i="12" s="1"/>
  <c r="P54" i="12" s="1"/>
  <c r="J55" i="12" s="1"/>
  <c r="P55" i="12" s="1"/>
  <c r="J56" i="12" s="1"/>
  <c r="P56" i="12" s="1"/>
  <c r="J57" i="12" s="1"/>
  <c r="P57" i="12" s="1"/>
  <c r="J58" i="12" s="1"/>
  <c r="P58" i="12" s="1"/>
  <c r="J59" i="12" s="1"/>
  <c r="Q22" i="10" l="1"/>
  <c r="M23" i="10" s="1"/>
  <c r="O23" i="10" s="1"/>
  <c r="N59" i="12"/>
  <c r="L59" i="12"/>
  <c r="P59" i="12" s="1"/>
  <c r="J60" i="12" s="1"/>
  <c r="P60" i="12" s="1"/>
  <c r="J61" i="12" s="1"/>
  <c r="P61" i="12" s="1"/>
  <c r="J62" i="12" s="1"/>
  <c r="P62" i="12" s="1"/>
  <c r="J63" i="12" s="1"/>
  <c r="P63" i="12" s="1"/>
  <c r="J64" i="12" s="1"/>
  <c r="P64" i="12" s="1"/>
  <c r="J65" i="12" s="1"/>
  <c r="Q23" i="10" l="1"/>
  <c r="M24" i="10" s="1"/>
  <c r="L65" i="12"/>
  <c r="F14" i="12" s="1"/>
  <c r="N65" i="12"/>
  <c r="Q24" i="10" l="1"/>
  <c r="M25" i="10" s="1"/>
  <c r="P65" i="12"/>
  <c r="F16" i="12" s="1"/>
  <c r="F17" i="12" s="1"/>
  <c r="F19" i="12" s="1"/>
  <c r="F15" i="12"/>
  <c r="Q25" i="10" l="1"/>
  <c r="M26" i="10" s="1"/>
  <c r="Q26" i="10" l="1"/>
  <c r="M27" i="10" s="1"/>
  <c r="Q27" i="10" l="1"/>
  <c r="M28" i="10" s="1"/>
  <c r="Q28" i="10" l="1"/>
  <c r="M29" i="10" s="1"/>
  <c r="O29" i="10" s="1"/>
  <c r="Q29" i="10" l="1"/>
  <c r="M30" i="10" s="1"/>
  <c r="Q30" i="10" l="1"/>
  <c r="M31" i="10" s="1"/>
  <c r="Q31" i="10" l="1"/>
  <c r="M32" i="10" s="1"/>
  <c r="Q32" i="10" l="1"/>
  <c r="M33" i="10" s="1"/>
  <c r="Q33" i="10" l="1"/>
  <c r="M34" i="10" s="1"/>
  <c r="Q34" i="10" l="1"/>
  <c r="M35" i="10" s="1"/>
  <c r="O35" i="10" s="1"/>
  <c r="Q35" i="10" l="1"/>
  <c r="M36" i="10" s="1"/>
  <c r="Q36" i="10" l="1"/>
  <c r="M37" i="10" s="1"/>
  <c r="Q37" i="10" l="1"/>
  <c r="M38" i="10" s="1"/>
  <c r="Q38" i="10" l="1"/>
  <c r="M39" i="10" s="1"/>
  <c r="Q39" i="10" l="1"/>
  <c r="M40" i="10" s="1"/>
  <c r="Q40" i="10" l="1"/>
  <c r="M41" i="10" s="1"/>
  <c r="O41" i="10" s="1"/>
  <c r="Q41" i="10" l="1"/>
  <c r="M42" i="10" s="1"/>
  <c r="Q42" i="10" l="1"/>
  <c r="M43" i="10" s="1"/>
  <c r="Q43" i="10" l="1"/>
  <c r="M44" i="10" s="1"/>
  <c r="Q44" i="10" l="1"/>
  <c r="M45" i="10" s="1"/>
  <c r="Q45" i="10" l="1"/>
  <c r="M46" i="10" s="1"/>
  <c r="Q46" i="10" l="1"/>
  <c r="M47" i="10" s="1"/>
  <c r="O47" i="10" s="1"/>
  <c r="Q47" i="10" l="1"/>
  <c r="M48" i="10" s="1"/>
  <c r="Q48" i="10" l="1"/>
  <c r="M49" i="10" s="1"/>
  <c r="Q49" i="10" l="1"/>
  <c r="M50" i="10" s="1"/>
  <c r="Q50" i="10" l="1"/>
  <c r="M51" i="10" s="1"/>
  <c r="Q51" i="10" l="1"/>
  <c r="M52" i="10" s="1"/>
  <c r="Q52" i="10" l="1"/>
  <c r="M53" i="10" s="1"/>
  <c r="O53" i="10" s="1"/>
  <c r="Q53" i="10" l="1"/>
  <c r="M54" i="10" s="1"/>
  <c r="Q54" i="10" l="1"/>
  <c r="M55" i="10" s="1"/>
  <c r="Q55" i="10" l="1"/>
  <c r="M56" i="10" s="1"/>
  <c r="Q56" i="10" l="1"/>
  <c r="M57" i="10" s="1"/>
  <c r="Q57" i="10" l="1"/>
  <c r="M58" i="10" s="1"/>
  <c r="Q58" i="10" l="1"/>
  <c r="M59" i="10" s="1"/>
  <c r="O59" i="10" s="1"/>
  <c r="Q59" i="10" l="1"/>
  <c r="M60" i="10" s="1"/>
  <c r="Q60" i="10" l="1"/>
  <c r="M61" i="10" s="1"/>
  <c r="Q61" i="10" l="1"/>
  <c r="M62" i="10" s="1"/>
  <c r="Q62" i="10" l="1"/>
  <c r="M63" i="10" s="1"/>
  <c r="Q63" i="10" l="1"/>
  <c r="M64" i="10" s="1"/>
  <c r="Q64" i="10" l="1"/>
  <c r="M65" i="10" s="1"/>
  <c r="O65" i="10" s="1"/>
  <c r="Q65" i="10" l="1"/>
  <c r="M66" i="10" s="1"/>
  <c r="Q66" i="10" l="1"/>
  <c r="M67" i="10" s="1"/>
  <c r="Q67" i="10" l="1"/>
  <c r="M68" i="10" s="1"/>
  <c r="Q68" i="10" l="1"/>
  <c r="M69" i="10" s="1"/>
  <c r="Q69" i="10" l="1"/>
  <c r="M70" i="10" s="1"/>
  <c r="Q70" i="10" l="1"/>
  <c r="M71" i="10" s="1"/>
  <c r="O71" i="10" s="1"/>
  <c r="Q71" i="10" l="1"/>
  <c r="M72" i="10" s="1"/>
  <c r="Q72" i="10" l="1"/>
  <c r="M73" i="10" s="1"/>
  <c r="Q73" i="10" l="1"/>
  <c r="M74" i="10" s="1"/>
  <c r="Q74" i="10" l="1"/>
  <c r="M75" i="10" s="1"/>
  <c r="Q75" i="10" l="1"/>
  <c r="M76" i="10" s="1"/>
  <c r="Q76" i="10" l="1"/>
  <c r="M77" i="10" s="1"/>
  <c r="O77" i="10" s="1"/>
  <c r="Q77" i="10" l="1"/>
  <c r="M78" i="10" s="1"/>
  <c r="Q78" i="10" l="1"/>
  <c r="M79" i="10" s="1"/>
  <c r="Q79" i="10" l="1"/>
  <c r="M80" i="10" s="1"/>
  <c r="Q80" i="10" l="1"/>
  <c r="M81" i="10" s="1"/>
  <c r="Q81" i="10" l="1"/>
  <c r="M82" i="10" s="1"/>
  <c r="Q82" i="10" l="1"/>
  <c r="M83" i="10" s="1"/>
  <c r="O83" i="10" s="1"/>
  <c r="Q83" i="10" l="1"/>
  <c r="M84" i="10" s="1"/>
  <c r="Q84" i="10" l="1"/>
  <c r="M85" i="10" s="1"/>
  <c r="Q85" i="10" l="1"/>
  <c r="M86" i="10" s="1"/>
  <c r="Q86" i="10" l="1"/>
  <c r="M87" i="10" s="1"/>
  <c r="Q87" i="10" l="1"/>
  <c r="M88" i="10" s="1"/>
  <c r="Q88" i="10" l="1"/>
  <c r="M89" i="10" s="1"/>
  <c r="O89" i="10" s="1"/>
  <c r="Q89" i="10" l="1"/>
  <c r="M90" i="10" s="1"/>
  <c r="Q90" i="10" l="1"/>
  <c r="M91" i="10" s="1"/>
  <c r="Q91" i="10" l="1"/>
  <c r="M92" i="10" s="1"/>
  <c r="Q92" i="10" l="1"/>
  <c r="M93" i="10" s="1"/>
  <c r="Q93" i="10" l="1"/>
  <c r="M94" i="10" s="1"/>
  <c r="Q94" i="10" l="1"/>
  <c r="M95" i="10" s="1"/>
  <c r="O95" i="10" s="1"/>
  <c r="Q95" i="10" l="1"/>
  <c r="M96" i="10" s="1"/>
  <c r="Q96" i="10" l="1"/>
  <c r="M97" i="10" s="1"/>
  <c r="Q97" i="10" l="1"/>
  <c r="M98" i="10" s="1"/>
  <c r="Q98" i="10" l="1"/>
  <c r="M99" i="10" s="1"/>
  <c r="Q99" i="10" l="1"/>
  <c r="M100" i="10" s="1"/>
  <c r="Q100" i="10" l="1"/>
  <c r="M101" i="10" s="1"/>
  <c r="O101" i="10" s="1"/>
  <c r="Q101" i="10" l="1"/>
  <c r="M102" i="10" s="1"/>
  <c r="Q102" i="10" l="1"/>
  <c r="M103" i="10" s="1"/>
  <c r="Q103" i="10" l="1"/>
  <c r="M104" i="10" s="1"/>
  <c r="Q104" i="10" l="1"/>
  <c r="M105" i="10" s="1"/>
  <c r="Q105" i="10" l="1"/>
  <c r="M106" i="10" s="1"/>
  <c r="Q106" i="10" l="1"/>
  <c r="M107" i="10" s="1"/>
  <c r="O107" i="10" s="1"/>
  <c r="Q107" i="10" l="1"/>
  <c r="M108" i="10" s="1"/>
  <c r="Q108" i="10" l="1"/>
  <c r="M109" i="10" s="1"/>
  <c r="Q109" i="10" l="1"/>
  <c r="M110" i="10" s="1"/>
  <c r="Q110" i="10" l="1"/>
  <c r="M111" i="10" s="1"/>
  <c r="Q111" i="10" l="1"/>
  <c r="M112" i="10" s="1"/>
  <c r="Q112" i="10" l="1"/>
  <c r="M113" i="10" s="1"/>
  <c r="O113" i="10" s="1"/>
  <c r="Q113" i="10" l="1"/>
  <c r="M114" i="10" s="1"/>
  <c r="Q114" i="10" l="1"/>
  <c r="M115" i="10" s="1"/>
  <c r="Q115" i="10" l="1"/>
  <c r="M116" i="10" s="1"/>
  <c r="Q116" i="10" l="1"/>
  <c r="M117" i="10" s="1"/>
  <c r="Q117" i="10" l="1"/>
  <c r="M118" i="10" s="1"/>
  <c r="Q118" i="10" l="1"/>
  <c r="M119" i="10" s="1"/>
  <c r="O119" i="10" s="1"/>
  <c r="Q119" i="10" l="1"/>
  <c r="M120" i="10" s="1"/>
  <c r="Q120" i="10" l="1"/>
  <c r="M121" i="10" s="1"/>
  <c r="Q121" i="10" l="1"/>
  <c r="M122" i="10" s="1"/>
  <c r="Q122" i="10" l="1"/>
  <c r="M123" i="10" s="1"/>
  <c r="Q123" i="10" l="1"/>
  <c r="M124" i="10" s="1"/>
  <c r="Q124" i="10" l="1"/>
  <c r="M125" i="10" s="1"/>
  <c r="O125" i="10" l="1"/>
  <c r="E20" i="10" s="1"/>
  <c r="Q125" i="10" l="1"/>
  <c r="E19" i="10" s="1"/>
</calcChain>
</file>

<file path=xl/sharedStrings.xml><?xml version="1.0" encoding="utf-8"?>
<sst xmlns="http://schemas.openxmlformats.org/spreadsheetml/2006/main" count="1073" uniqueCount="668">
  <si>
    <t>PLANILHA DE AUXÍLIO DIÁRIO</t>
  </si>
  <si>
    <t>Investment Advisory</t>
  </si>
  <si>
    <t>Desenvolvido por Harion Camargo</t>
  </si>
  <si>
    <t>MENU</t>
  </si>
  <si>
    <t>% CDI</t>
  </si>
  <si>
    <t>API (Suitability)</t>
  </si>
  <si>
    <t>Cálculo - Corretora</t>
  </si>
  <si>
    <t>Cálculo de Taxas</t>
  </si>
  <si>
    <t>Cálculos Financeiros</t>
  </si>
  <si>
    <t>Carteira dois Click</t>
  </si>
  <si>
    <t>Classificação Anbima</t>
  </si>
  <si>
    <t>Códigos STVM</t>
  </si>
  <si>
    <t>Custódia - Tesouro</t>
  </si>
  <si>
    <t>Datas - IR</t>
  </si>
  <si>
    <t>Divisão de Carteira</t>
  </si>
  <si>
    <t>FGC</t>
  </si>
  <si>
    <t>IOF</t>
  </si>
  <si>
    <t>IR no Rendimento</t>
  </si>
  <si>
    <t>Ligações</t>
  </si>
  <si>
    <t>Migração de Fundos</t>
  </si>
  <si>
    <t>Notícias</t>
  </si>
  <si>
    <t>Op. Matemáticas</t>
  </si>
  <si>
    <t>PJ</t>
  </si>
  <si>
    <t>Porcentagem</t>
  </si>
  <si>
    <t>Pós x Pré Fixados</t>
  </si>
  <si>
    <t>Proporção - VGBL</t>
  </si>
  <si>
    <t>PU</t>
  </si>
  <si>
    <t>Ratings</t>
  </si>
  <si>
    <t>Renda Vitalícia</t>
  </si>
  <si>
    <t>S&amp;P 500</t>
  </si>
  <si>
    <t>Sharpe da Carteira</t>
  </si>
  <si>
    <t>Simulação - Yield</t>
  </si>
  <si>
    <t>STVM</t>
  </si>
  <si>
    <t>Tabela de IR</t>
  </si>
  <si>
    <t>Taxa de ADM</t>
  </si>
  <si>
    <t>Tipos de Fundos</t>
  </si>
  <si>
    <t>Come Cotas x VGBL</t>
  </si>
  <si>
    <t>% do CDI</t>
  </si>
  <si>
    <t>COMPARAR UMA RENTABILIDADE COM OUTRA</t>
  </si>
  <si>
    <t>DESCOBRIR A % DO CDI DE UM YIELD DE FUNDO IMOBILIÁRIO</t>
  </si>
  <si>
    <t>Quanto paga o Investimento?</t>
  </si>
  <si>
    <t>Em quanto está o CDI?</t>
  </si>
  <si>
    <t>Isso representa quantos % do CDI?</t>
  </si>
  <si>
    <t>Qual o Valor da Cota?</t>
  </si>
  <si>
    <t>Qual o Valor do Dividend Yield?</t>
  </si>
  <si>
    <t>Em quanto está o CDI mensal?</t>
  </si>
  <si>
    <t>Taxa ao Mês</t>
  </si>
  <si>
    <t>Taxa ao Ano</t>
  </si>
  <si>
    <t>Convertendo Taxa ao Ano para Taxa ao Mês</t>
  </si>
  <si>
    <t>Convertendo Taxa ao Mês para Taxa ao Ano</t>
  </si>
  <si>
    <t>Convertendo Taxa ao Mês para Taxa ao Dia</t>
  </si>
  <si>
    <t>Taxa ao Dia</t>
  </si>
  <si>
    <t>Convertendo Taxa ao Dia para Taxa ao Mês</t>
  </si>
  <si>
    <t>Convertendo Taxa ao Ano para Taxa ao Dia</t>
  </si>
  <si>
    <t>Convertendo Taxa ao Dia para Taxa ao Ano</t>
  </si>
  <si>
    <t>Taxa Conjunta (Taxa + Outra Taxa)</t>
  </si>
  <si>
    <t>Taxa Descontada de Outra Taxa (Taxa - Outra Taxa)</t>
  </si>
  <si>
    <t>Taxa A</t>
  </si>
  <si>
    <t>Taxa B</t>
  </si>
  <si>
    <t>Taxa D</t>
  </si>
  <si>
    <t>Taxa C</t>
  </si>
  <si>
    <t>Taxa FINAL</t>
  </si>
  <si>
    <t>Versão 1.3</t>
  </si>
  <si>
    <t>Quantidade de Dias do Investimento</t>
  </si>
  <si>
    <t>Data Inicial</t>
  </si>
  <si>
    <t>Quantidade de Dias</t>
  </si>
  <si>
    <t>Investimentos Cobertos</t>
  </si>
  <si>
    <t>CDB</t>
  </si>
  <si>
    <t>LCI</t>
  </si>
  <si>
    <t>LCA</t>
  </si>
  <si>
    <t>LC (Letra de Câmbio)</t>
  </si>
  <si>
    <t>LH (Letra Hipotecária)</t>
  </si>
  <si>
    <t>LI (Letra Imobiliária)</t>
  </si>
  <si>
    <t>RDB (Recibo de Depósito Bancário)</t>
  </si>
  <si>
    <t>DPGE (Depósito a Prazo com Garantia Especial)</t>
  </si>
  <si>
    <t>Caderneta de Poupança</t>
  </si>
  <si>
    <t>Compromissadas (Depois de Março de 2012)</t>
  </si>
  <si>
    <t>Fundos de Investimentos</t>
  </si>
  <si>
    <t>Fundos de Previdência</t>
  </si>
  <si>
    <t>Ações</t>
  </si>
  <si>
    <t>CRI</t>
  </si>
  <si>
    <t>CRA</t>
  </si>
  <si>
    <t>Debêntures</t>
  </si>
  <si>
    <t>ETFs</t>
  </si>
  <si>
    <t>COEs</t>
  </si>
  <si>
    <t>FII</t>
  </si>
  <si>
    <t>Depósito a Vista em Conta Corrente</t>
  </si>
  <si>
    <t>Depósito em conta no Exterior</t>
  </si>
  <si>
    <t>Derivativos em geral</t>
  </si>
  <si>
    <t>AGORA CTVM S/A</t>
  </si>
  <si>
    <t>ALFA CCVM S/A</t>
  </si>
  <si>
    <t>ATIVA INVESTIMENTOS S/A CTCV</t>
  </si>
  <si>
    <t>BANCO BNP PARIBAS BRASIL S/A</t>
  </si>
  <si>
    <t>BANCO BRADESCO S/A</t>
  </si>
  <si>
    <t>BANCO SANTANDER (BRASIL) S.A.</t>
  </si>
  <si>
    <t>BGC LIQUIDEZ DTVM LTDA</t>
  </si>
  <si>
    <t>BM&amp;F BOVESPA S/A-BOLSA DE VAL.MERC.E FUTUROS</t>
  </si>
  <si>
    <t>BRADESCO S/A CTVM</t>
  </si>
  <si>
    <t>BRADESCO-KIRTON CTVM S/A</t>
  </si>
  <si>
    <t>BTG PACTUAL CTVM S/A</t>
  </si>
  <si>
    <t>CITIBANK DTVM S/A</t>
  </si>
  <si>
    <t>CLEAR CORRETORA - GRUPO XP</t>
  </si>
  <si>
    <t>CM CAPITAL MARKETS CCTVM LTDA</t>
  </si>
  <si>
    <t>COINVALORES CCVM LTDA</t>
  </si>
  <si>
    <t>CREDIT SUISSE (BRASIL) S.A. CTVM</t>
  </si>
  <si>
    <t>DEUTSCHE BANK CV S/A</t>
  </si>
  <si>
    <t>FATOR S/A - CORRETORA DE VALORES</t>
  </si>
  <si>
    <t>GENIAL INSTITUCIONAL CCTVM S/A</t>
  </si>
  <si>
    <t>GOLDMAN SACHS DO BRASIL CTVM SA</t>
  </si>
  <si>
    <t>GUIDE INVESTIMENTOS SA CORRETORA DE VALORES</t>
  </si>
  <si>
    <t>H.COMMCOR DTVM LTDA</t>
  </si>
  <si>
    <t>HAITONG SECURITIES DO BRASIL CCVM S/A</t>
  </si>
  <si>
    <t>ICAP DO BRASIL CTVM LTDA</t>
  </si>
  <si>
    <t>ING CCT S/A</t>
  </si>
  <si>
    <t>INTERFLOAT HZ CCTVM LTDA</t>
  </si>
  <si>
    <t>INTL FCSTONE DTVM LTDA</t>
  </si>
  <si>
    <t>ITAU CV S/A</t>
  </si>
  <si>
    <t>J.P. MORGAN CCVM S/A</t>
  </si>
  <si>
    <t>MERRILL LYNCH S/A CTVM</t>
  </si>
  <si>
    <t>MORGAN STANLEY CTVM S/A</t>
  </si>
  <si>
    <t>NECTON INVESTIMENTOS S.A. CVMC</t>
  </si>
  <si>
    <t>NOVA FUTURA CTVM LTDA</t>
  </si>
  <si>
    <t>PLANNER CORRETORA DE VALORES S/A</t>
  </si>
  <si>
    <t>RENASCENCA DTVM LTDA</t>
  </si>
  <si>
    <t>RICO CTVM S/A</t>
  </si>
  <si>
    <t>SAFRA CORRETORA DE VALORES E CAMBIO LTDA</t>
  </si>
  <si>
    <t>SANTANDER CCVM S/A</t>
  </si>
  <si>
    <t>SOCOPA SOCIEDADE CORRETORA PAULISTA S/A.</t>
  </si>
  <si>
    <t>SPINELLI S/A CVMC (EM INCORPORAÇÃO)</t>
  </si>
  <si>
    <t>TENDENCIA CCTVM LTDA</t>
  </si>
  <si>
    <t>TERRA INVESTIMENTOS DTVM LTDA</t>
  </si>
  <si>
    <t>TOV CCTVM LTDA</t>
  </si>
  <si>
    <t>TULLETT PREBON BRASIL CVC LTDA.</t>
  </si>
  <si>
    <t>UBS BRASIL CCTVM S/A</t>
  </si>
  <si>
    <t>UM INVESTIMENTOS S/A CTVM</t>
  </si>
  <si>
    <t>VOTORANTIM CTVM LTDA</t>
  </si>
  <si>
    <t>WALPIRES S/A CCTVM</t>
  </si>
  <si>
    <t>XP INVESTIMENTOS CCTVM S/A</t>
  </si>
  <si>
    <t>Código</t>
  </si>
  <si>
    <t>Nome da Corretora</t>
  </si>
  <si>
    <t>Número de Dias</t>
  </si>
  <si>
    <t>Alíquota</t>
  </si>
  <si>
    <t>Simulador de IOF</t>
  </si>
  <si>
    <t>Rendimento</t>
  </si>
  <si>
    <t>Rendimento Pós-IOF</t>
  </si>
  <si>
    <t>Descontar o IR da Rentabilidade Bruta</t>
  </si>
  <si>
    <t>Embutir IR na Rentabilidade Líquida</t>
  </si>
  <si>
    <t>Descontar IR em cima da Rentabilidade</t>
  </si>
  <si>
    <t>Rentabilidade sem IR</t>
  </si>
  <si>
    <t>IR</t>
  </si>
  <si>
    <t>Principal</t>
  </si>
  <si>
    <t>CDI (ano)</t>
  </si>
  <si>
    <t>Rentabilidade Líquida</t>
  </si>
  <si>
    <t>Retorno no Ano (líquido)</t>
  </si>
  <si>
    <t>Rentabilidade Bruta</t>
  </si>
  <si>
    <t>Rentabilidade Gross-up</t>
  </si>
  <si>
    <t>Valor do IR</t>
  </si>
  <si>
    <t>Resultado Final (net)</t>
  </si>
  <si>
    <t>Fundo Atual</t>
  </si>
  <si>
    <t>x</t>
  </si>
  <si>
    <t>Fundo Novo</t>
  </si>
  <si>
    <t>Taxa de Administração</t>
  </si>
  <si>
    <t>Rentabilidade (Mensal)</t>
  </si>
  <si>
    <t>IR (Atual)</t>
  </si>
  <si>
    <t>Compensa?</t>
  </si>
  <si>
    <t>Saldo Total</t>
  </si>
  <si>
    <t>Valor Inicial</t>
  </si>
  <si>
    <t>Valor do Resgate</t>
  </si>
  <si>
    <t>R$</t>
  </si>
  <si>
    <t>%</t>
  </si>
  <si>
    <t>Base de Cálculo do IR</t>
  </si>
  <si>
    <t>Parte: Principal</t>
  </si>
  <si>
    <t>Parte: Rendimento</t>
  </si>
  <si>
    <t>IR - PREVIDÊNCIA (REGRESSIVO/DEFINITIVO)</t>
  </si>
  <si>
    <t>Até 02 Anos</t>
  </si>
  <si>
    <t>02 a 04 Anos</t>
  </si>
  <si>
    <t>04 a 06 Anos</t>
  </si>
  <si>
    <t>06 a 08 Anos</t>
  </si>
  <si>
    <t>Acima de 10 Anos</t>
  </si>
  <si>
    <t>08 a 10 Anos</t>
  </si>
  <si>
    <t>Prazo de Investimento</t>
  </si>
  <si>
    <t>Alíquota de IR</t>
  </si>
  <si>
    <t>TABELA DE IR - RENDA FIXA</t>
  </si>
  <si>
    <t>Acima de 720 Dias</t>
  </si>
  <si>
    <t>De 361 a 720 Dias</t>
  </si>
  <si>
    <t>De 181 a 360 Dias</t>
  </si>
  <si>
    <t>Até 180 Dias</t>
  </si>
  <si>
    <t>-</t>
  </si>
  <si>
    <t>–</t>
  </si>
  <si>
    <t>Parcela a deduzir do IRPF (R$)</t>
  </si>
  <si>
    <t>Alíquota (%)</t>
  </si>
  <si>
    <t>Base de cálculo (R$)</t>
  </si>
  <si>
    <t>Parcela a Deduzir do Imposto em R$</t>
  </si>
  <si>
    <t>Base de Cálculo Mensal em R$</t>
  </si>
  <si>
    <t>Até R$ 1.903,98</t>
  </si>
  <si>
    <t>De R$ 1.903,99 até R$ 2.826,65</t>
  </si>
  <si>
    <t>De R$ 2.826,66 até R$ 3.751,05</t>
  </si>
  <si>
    <t>De R$ 3.751,06 até R$ 4.664,68</t>
  </si>
  <si>
    <t>Acima de R$ 4.664,68</t>
  </si>
  <si>
    <t>Até R$ 22.847,76</t>
  </si>
  <si>
    <t>De R$ 22.847,77 até R$ 33.919,80</t>
  </si>
  <si>
    <t>De R$ 33.919,81 até R$ 45.012,60</t>
  </si>
  <si>
    <t>De R$ 45.012,61 até R$ 55.976,16</t>
  </si>
  <si>
    <t>Acima de R$ 55.976,16</t>
  </si>
  <si>
    <t>Nome do Fundo</t>
  </si>
  <si>
    <t>IS: 01 Ano</t>
  </si>
  <si>
    <t>IS: 02 Anos</t>
  </si>
  <si>
    <t>IS: 03 Anos</t>
  </si>
  <si>
    <t>Fundo XYZ</t>
  </si>
  <si>
    <t>Fundo ABC</t>
  </si>
  <si>
    <t>Índice Sharpe</t>
  </si>
  <si>
    <t>Quanto é...</t>
  </si>
  <si>
    <t>de</t>
  </si>
  <si>
    <t>Quanto Representa...</t>
  </si>
  <si>
    <t>menos</t>
  </si>
  <si>
    <t>Valor</t>
  </si>
  <si>
    <t>Divisão por Porcentagem</t>
  </si>
  <si>
    <t>$</t>
  </si>
  <si>
    <t>Ativos</t>
  </si>
  <si>
    <t>LCI - Banco XYZ</t>
  </si>
  <si>
    <t>Fundo XPTO Multimercado</t>
  </si>
  <si>
    <t>Divisão por Valor</t>
  </si>
  <si>
    <t>Quanto Falta?</t>
  </si>
  <si>
    <t>Carteira Dois Click</t>
  </si>
  <si>
    <t>Montante</t>
  </si>
  <si>
    <t>Retorno</t>
  </si>
  <si>
    <t>CARTEIRA ATUAL</t>
  </si>
  <si>
    <t>CARTEIRA SUGERIDA</t>
  </si>
  <si>
    <t>Fundo DI XYZ</t>
  </si>
  <si>
    <t>Fundo ABC MM</t>
  </si>
  <si>
    <t>CDB - Banco XPTO</t>
  </si>
  <si>
    <t>D</t>
  </si>
  <si>
    <t>DD</t>
  </si>
  <si>
    <t>/</t>
  </si>
  <si>
    <t>In default</t>
  </si>
  <si>
    <t>DDD</t>
  </si>
  <si>
    <t>C</t>
  </si>
  <si>
    <t>prospect for recovery</t>
  </si>
  <si>
    <t>CC</t>
  </si>
  <si>
    <t>Ca</t>
  </si>
  <si>
    <t>Default imminent with little </t>
  </si>
  <si>
    <t>CCC−</t>
  </si>
  <si>
    <t>Caa3</t>
  </si>
  <si>
    <t>Extremely speculative</t>
  </si>
  <si>
    <t>CCC</t>
  </si>
  <si>
    <t>Caa2</t>
  </si>
  <si>
    <t>Substantial risks</t>
  </si>
  <si>
    <t>CCC+</t>
  </si>
  <si>
    <t>Caa1</t>
  </si>
  <si>
    <t>B−</t>
  </si>
  <si>
    <t>B3</t>
  </si>
  <si>
    <t>B</t>
  </si>
  <si>
    <t>B2</t>
  </si>
  <si>
    <t>Highly speculative</t>
  </si>
  <si>
    <t>B+</t>
  </si>
  <si>
    <t>B1</t>
  </si>
  <si>
    <t>AKA junk bonds</t>
  </si>
  <si>
    <t>BB−</t>
  </si>
  <si>
    <t>Ba3</t>
  </si>
  <si>
    <t>AKA high-yield bonds</t>
  </si>
  <si>
    <t>speculative</t>
  </si>
  <si>
    <t>BB</t>
  </si>
  <si>
    <t>Ba2</t>
  </si>
  <si>
    <t>Non-investment grade</t>
  </si>
  <si>
    <t>Non-investment grade </t>
  </si>
  <si>
    <t>BB+</t>
  </si>
  <si>
    <t>Not prime</t>
  </si>
  <si>
    <t>Ba1</t>
  </si>
  <si>
    <t>BBB−</t>
  </si>
  <si>
    <t>Baa3</t>
  </si>
  <si>
    <t>F3</t>
  </si>
  <si>
    <t>BBB</t>
  </si>
  <si>
    <t>A-3</t>
  </si>
  <si>
    <t>P-3</t>
  </si>
  <si>
    <t>Baa2</t>
  </si>
  <si>
    <t>Lower medium grade</t>
  </si>
  <si>
    <t>BBB+</t>
  </si>
  <si>
    <t>Baa1</t>
  </si>
  <si>
    <t>F2</t>
  </si>
  <si>
    <t>A−</t>
  </si>
  <si>
    <t>A-2</t>
  </si>
  <si>
    <t>P-2</t>
  </si>
  <si>
    <t>A3</t>
  </si>
  <si>
    <t>A</t>
  </si>
  <si>
    <t>A2</t>
  </si>
  <si>
    <t>Upper medium grade</t>
  </si>
  <si>
    <t>F1</t>
  </si>
  <si>
    <t>A+</t>
  </si>
  <si>
    <t>A-1</t>
  </si>
  <si>
    <t>A1</t>
  </si>
  <si>
    <t>AA−</t>
  </si>
  <si>
    <t>Aa3</t>
  </si>
  <si>
    <t>AA</t>
  </si>
  <si>
    <t>Aa2</t>
  </si>
  <si>
    <t>High grade</t>
  </si>
  <si>
    <t>AA+</t>
  </si>
  <si>
    <t>Aa1</t>
  </si>
  <si>
    <t>Investment-grade</t>
  </si>
  <si>
    <t>Prime</t>
  </si>
  <si>
    <t>F1+</t>
  </si>
  <si>
    <t>AAA</t>
  </si>
  <si>
    <t>A-1+</t>
  </si>
  <si>
    <t>P-1</t>
  </si>
  <si>
    <t>Aaa</t>
  </si>
  <si>
    <t>NAIC</t>
  </si>
  <si>
    <t>Short-term</t>
  </si>
  <si>
    <t>Long-term</t>
  </si>
  <si>
    <t>Rating description</t>
  </si>
  <si>
    <t>Equivalent to SVO Designations</t>
  </si>
  <si>
    <t>Fitch</t>
  </si>
  <si>
    <t>S&amp;P</t>
  </si>
  <si>
    <t>Moody’s</t>
  </si>
  <si>
    <t>Pós x Pré Fixado</t>
  </si>
  <si>
    <t>Operações Matemáticas</t>
  </si>
  <si>
    <t>DIVISÃO</t>
  </si>
  <si>
    <t>dividido por</t>
  </si>
  <si>
    <t>MULTIPLICAÇÃO</t>
  </si>
  <si>
    <t>POTENCIAÇÃO</t>
  </si>
  <si>
    <t>vezes</t>
  </si>
  <si>
    <t>evelado por</t>
  </si>
  <si>
    <t>ADIÇÃO</t>
  </si>
  <si>
    <t>SUBTRAÇÃO</t>
  </si>
  <si>
    <t>PORCENTAGEM</t>
  </si>
  <si>
    <t>mais</t>
  </si>
  <si>
    <t>LN</t>
  </si>
  <si>
    <t>Raiz</t>
  </si>
  <si>
    <t>SUBTRAÇÃO DE PORCENTAGEM</t>
  </si>
  <si>
    <t>RAIZ QUADRADA</t>
  </si>
  <si>
    <t>SOMA DE PORCENTAGEM</t>
  </si>
  <si>
    <t>VARIAÇÃO PERCENTUAL</t>
  </si>
  <si>
    <t>vai para</t>
  </si>
  <si>
    <t>MÉDIA</t>
  </si>
  <si>
    <t>Valor Desejado</t>
  </si>
  <si>
    <t>Taxa de Juros (ao mês)</t>
  </si>
  <si>
    <t>Recurso Necessário para Obter a Renda</t>
  </si>
  <si>
    <t>PREENCHER</t>
  </si>
  <si>
    <t>RESULTADO</t>
  </si>
  <si>
    <t>Calcular o Valor Futuro (FV)</t>
  </si>
  <si>
    <t>Calcular o Valor Presente (PV)</t>
  </si>
  <si>
    <t>Calcular a Taxa (i)</t>
  </si>
  <si>
    <t>PMT (Prestações)</t>
  </si>
  <si>
    <t>Valor Futuro</t>
  </si>
  <si>
    <t>Período</t>
  </si>
  <si>
    <t>Taxa</t>
  </si>
  <si>
    <t>Valor Presente</t>
  </si>
  <si>
    <t>Calcular a Prestação (PMT)</t>
  </si>
  <si>
    <t>Calcular o Período (n)</t>
  </si>
  <si>
    <t>Valor Presente (PV)</t>
  </si>
  <si>
    <t>Prestações (PMT)</t>
  </si>
  <si>
    <t>Período (n)</t>
  </si>
  <si>
    <t>Valor Futuro (FV)</t>
  </si>
  <si>
    <t>Taxa (i)</t>
  </si>
  <si>
    <t>PU (Preço Unitário)</t>
  </si>
  <si>
    <t>PU de Compra</t>
  </si>
  <si>
    <t>Valor de Face</t>
  </si>
  <si>
    <t>Dias Úteis para o Vencimento</t>
  </si>
  <si>
    <t>Taxa de Compra (a.a.)</t>
  </si>
  <si>
    <t>PU de Venda</t>
  </si>
  <si>
    <t>Dias Úteis Faltantes para o Vencimento</t>
  </si>
  <si>
    <t>Taxa de Mercado (a.a.)</t>
  </si>
  <si>
    <t>Rentabilidade no Período da Operação</t>
  </si>
  <si>
    <t>Outras Informações</t>
  </si>
  <si>
    <t>Data Final</t>
  </si>
  <si>
    <t>Dias Úteis</t>
  </si>
  <si>
    <t>Taxa de Compra ao Dia (a.d)</t>
  </si>
  <si>
    <t>Taxa de Venda ao Dia</t>
  </si>
  <si>
    <t>API</t>
  </si>
  <si>
    <t>Custódia do Tesouro</t>
  </si>
  <si>
    <t>Simulação de Yield</t>
  </si>
  <si>
    <t>Fundo</t>
  </si>
  <si>
    <t>Descrição</t>
  </si>
  <si>
    <t>RF Referenciado</t>
  </si>
  <si>
    <t>Renda Fixa</t>
  </si>
  <si>
    <t>Cambial</t>
  </si>
  <si>
    <r>
      <t xml:space="preserve">Os fundos classificados como “Renda Fixa” apresentam como </t>
    </r>
    <r>
      <rPr>
        <b/>
        <sz val="11"/>
        <color theme="1"/>
        <rFont val="Calibri"/>
        <family val="2"/>
        <scheme val="minor"/>
      </rPr>
      <t>principal fator de risco de sua carteira a variação da taxa de juros</t>
    </r>
    <r>
      <rPr>
        <sz val="11"/>
        <color theme="1"/>
        <rFont val="Calibri"/>
        <family val="2"/>
        <scheme val="minor"/>
      </rPr>
      <t xml:space="preserve">, </t>
    </r>
    <r>
      <rPr>
        <b/>
        <sz val="11"/>
        <color theme="1"/>
        <rFont val="Calibri"/>
        <family val="2"/>
        <scheme val="minor"/>
      </rPr>
      <t>de índice de preços, ou ambos</t>
    </r>
    <r>
      <rPr>
        <sz val="11"/>
        <color theme="1"/>
        <rFont val="Calibri"/>
        <family val="2"/>
        <scheme val="minor"/>
      </rPr>
      <t xml:space="preserve">. </t>
    </r>
    <r>
      <rPr>
        <b/>
        <sz val="11"/>
        <color theme="1"/>
        <rFont val="Calibri"/>
        <family val="2"/>
        <scheme val="minor"/>
      </rPr>
      <t>Devem ter pelo menos 80% da sua carteira investida em ativos que estejam relacionados a esses fatores de risco</t>
    </r>
    <r>
      <rPr>
        <sz val="11"/>
        <color theme="1"/>
        <rFont val="Calibri"/>
        <family val="2"/>
        <scheme val="minor"/>
      </rPr>
      <t>. Na prática, esses ativos financeiros são, em sua maioria, os chamados títulos de renda fixa, como os títulos públicos federais, as debêntures e os títulos de emissão bancária, como CDBs, LCIs, entre outros.</t>
    </r>
  </si>
  <si>
    <r>
      <t xml:space="preserve">Buscam acompanhar a variação de determinado indicador de referência (benchmark) definido em seu objetivo. Esse indicador pode ser um índice de mercado ou uma taxa de juros.
</t>
    </r>
    <r>
      <rPr>
        <b/>
        <sz val="11"/>
        <color theme="1"/>
        <rFont val="Calibri"/>
        <family val="2"/>
        <scheme val="minor"/>
      </rPr>
      <t xml:space="preserve">Para isso, devem manter no mínimo 95% de seu patrimônio líquido investido em ativos que acompanhem o indicador e ter no mínimo 80% do patrimônio </t>
    </r>
    <r>
      <rPr>
        <sz val="11"/>
        <color theme="1"/>
        <rFont val="Calibri"/>
        <family val="2"/>
        <scheme val="minor"/>
      </rPr>
      <t>representado por títulos públicos federais, ativos de renda fixa considerados de baixo risco de crédito ou cotas de fundos de índice que invistam em ativos com essas características.</t>
    </r>
  </si>
  <si>
    <t>Multimercado</t>
  </si>
  <si>
    <r>
      <t xml:space="preserve">São fundos constituídos com o objetivo de investir no mercado de ações. </t>
    </r>
    <r>
      <rPr>
        <b/>
        <sz val="11"/>
        <color theme="1"/>
        <rFont val="Calibri"/>
        <family val="2"/>
        <scheme val="minor"/>
      </rPr>
      <t>Devem investir no mínimo 67% do seu patrimônio em ações admitidas à negociação em mercado organizado ou em ativos relacionados, como</t>
    </r>
    <r>
      <rPr>
        <sz val="11"/>
        <color theme="1"/>
        <rFont val="Calibri"/>
        <family val="2"/>
        <scheme val="minor"/>
      </rPr>
      <t xml:space="preserve"> bônus ou recibos de subscrição, certificados de depósito de ações, cotas de fundos de ações, cotas dos fundos de índice de ações e Brazilian Depositary Receipts (BDR) classificados com nível II e III.</t>
    </r>
  </si>
  <si>
    <r>
      <t xml:space="preserve">Nos fundos cambiais o principal fator de risco da carteira é a flutuação do preço da moeda estrangeira ou a variação de uma taxa de juros chamada de cupom cambial.
</t>
    </r>
    <r>
      <rPr>
        <b/>
        <sz val="11"/>
        <color theme="1"/>
        <rFont val="Calibri"/>
        <family val="2"/>
        <scheme val="minor"/>
      </rPr>
      <t>Devem manter, no mínimo, 80% de seu patrimônio investido em ativos que sejam relacionados, direta ou indiretamente (via derivativos), a esses fatores de risco.</t>
    </r>
  </si>
  <si>
    <r>
      <t xml:space="preserve">Possuem política de investimento que envolve vários fatores de risco, sem o compromisso de concentração em nenhum fator em especial. </t>
    </r>
    <r>
      <rPr>
        <b/>
        <sz val="11"/>
        <color theme="1"/>
        <rFont val="Calibri"/>
        <family val="2"/>
        <scheme val="minor"/>
      </rPr>
      <t xml:space="preserve">Podem investir em ativos de diferentes mercados — renda fixa, câmbio, ações — e utilizar derivativos tanto para alavancagem quanto para proteção da carteira.
Os fundos multimercado têm maior liberdade de gestão e em geral buscam rendimento mais elevado. </t>
    </r>
    <r>
      <rPr>
        <sz val="11"/>
        <color theme="1"/>
        <rFont val="Calibri"/>
        <family val="2"/>
        <scheme val="minor"/>
      </rPr>
      <t>Por isso, podem ser mais arriscados que outras classes de fundos.</t>
    </r>
  </si>
  <si>
    <t>Long &amp; Short</t>
  </si>
  <si>
    <t>FIC</t>
  </si>
  <si>
    <t>Macro Carregamento</t>
  </si>
  <si>
    <t>Macro Trading</t>
  </si>
  <si>
    <t>Crédito Privado</t>
  </si>
  <si>
    <t>Long Biased</t>
  </si>
  <si>
    <t>Capital Protegido</t>
  </si>
  <si>
    <t>Investimento no Exterior</t>
  </si>
  <si>
    <t>Referenciado</t>
  </si>
  <si>
    <t>FIP</t>
  </si>
  <si>
    <t>TÍTULOS PÓS</t>
  </si>
  <si>
    <t>Capital Inicial</t>
  </si>
  <si>
    <t>Taxa do Investimento (a.a.)</t>
  </si>
  <si>
    <t>DI</t>
  </si>
  <si>
    <t>Taxa de Custódia (Mês)</t>
  </si>
  <si>
    <t>Período (Em Anos)</t>
  </si>
  <si>
    <t>Investimento com IR?</t>
  </si>
  <si>
    <t>Valor Futuro - Custódia</t>
  </si>
  <si>
    <t>Rendimento Futuro (a.p.)</t>
  </si>
  <si>
    <t>Rendimento Futuro - IR</t>
  </si>
  <si>
    <t>Rendimento Líquido (a.p.)</t>
  </si>
  <si>
    <t>Valor Final (Líquido)</t>
  </si>
  <si>
    <t>Taxa Mensalizada (Líquida)</t>
  </si>
  <si>
    <t>Taxa Líquida de Custódia e IR</t>
  </si>
  <si>
    <t>TÍTULOS PRÉ</t>
  </si>
  <si>
    <t>Não</t>
  </si>
  <si>
    <t>Custódia Acumulada (a.p.)</t>
  </si>
  <si>
    <t>Diferença Líquida: Pré e Pós</t>
  </si>
  <si>
    <t>Sim</t>
  </si>
  <si>
    <t>Conservador</t>
  </si>
  <si>
    <t>Moderado</t>
  </si>
  <si>
    <t>Arrojado</t>
  </si>
  <si>
    <t>Agressivo</t>
  </si>
  <si>
    <t>PERFIL DO INVESTIDOR</t>
  </si>
  <si>
    <t>Classe de Ativos</t>
  </si>
  <si>
    <t>Pós Fixado</t>
  </si>
  <si>
    <t>Pré Fixado</t>
  </si>
  <si>
    <t>Inflação</t>
  </si>
  <si>
    <t>Ações (Brasil)</t>
  </si>
  <si>
    <t>Ações (Exterior)</t>
  </si>
  <si>
    <t>Dólar</t>
  </si>
  <si>
    <t>Alternativos</t>
  </si>
  <si>
    <t>Total</t>
  </si>
  <si>
    <t>Renda Fixa (Exterior)</t>
  </si>
  <si>
    <t>Preencher</t>
  </si>
  <si>
    <t>Valor Aportado</t>
  </si>
  <si>
    <t>Custódia B3 (Anual)</t>
  </si>
  <si>
    <t>RESULTADO (05 ANOS)</t>
  </si>
  <si>
    <t>Valor Pago de Entrada</t>
  </si>
  <si>
    <t>Valor Investido</t>
  </si>
  <si>
    <t>Total Aproximado pago em Custódia</t>
  </si>
  <si>
    <t>Total Aproximado pago em Custódia da B3</t>
  </si>
  <si>
    <t>Saldo Final Bruto (05 Anos)</t>
  </si>
  <si>
    <t>Saldo Final Líquido</t>
  </si>
  <si>
    <t>Rentabilidade Aproximada Mensal do Título</t>
  </si>
  <si>
    <t>Mês 01</t>
  </si>
  <si>
    <t>Mês 02</t>
  </si>
  <si>
    <t>Mês 03</t>
  </si>
  <si>
    <t>Mês 04</t>
  </si>
  <si>
    <t>Mês 05</t>
  </si>
  <si>
    <t>Mês 06</t>
  </si>
  <si>
    <t>Mês 07</t>
  </si>
  <si>
    <t>Mês 08</t>
  </si>
  <si>
    <t>Mês 09</t>
  </si>
  <si>
    <t>Mês 10</t>
  </si>
  <si>
    <t>Mês 11</t>
  </si>
  <si>
    <t>Mês 12</t>
  </si>
  <si>
    <t>Mês 13</t>
  </si>
  <si>
    <t>Mês 14</t>
  </si>
  <si>
    <t>Mês 15</t>
  </si>
  <si>
    <t>Mês 16</t>
  </si>
  <si>
    <t>Mês 17</t>
  </si>
  <si>
    <t>Mês 18</t>
  </si>
  <si>
    <t>Mês 19</t>
  </si>
  <si>
    <t>Mês 20</t>
  </si>
  <si>
    <t>Mês 21</t>
  </si>
  <si>
    <t>Mês 22</t>
  </si>
  <si>
    <t>Mês 23</t>
  </si>
  <si>
    <t>Mês 24</t>
  </si>
  <si>
    <t>Mês 25</t>
  </si>
  <si>
    <t>Mês 26</t>
  </si>
  <si>
    <t>Mês 27</t>
  </si>
  <si>
    <t>Mês 28</t>
  </si>
  <si>
    <t>Mês 29</t>
  </si>
  <si>
    <t>Mês 30</t>
  </si>
  <si>
    <t>Mês 31</t>
  </si>
  <si>
    <t>Mês 32</t>
  </si>
  <si>
    <t>Mês 33</t>
  </si>
  <si>
    <t>Mês 34</t>
  </si>
  <si>
    <t>Mês 35</t>
  </si>
  <si>
    <t>Mês 36</t>
  </si>
  <si>
    <t>Mês 37</t>
  </si>
  <si>
    <t>Mês 38</t>
  </si>
  <si>
    <t>Mês 39</t>
  </si>
  <si>
    <t>Mês 40</t>
  </si>
  <si>
    <t>Mês 41</t>
  </si>
  <si>
    <t>Mês 42</t>
  </si>
  <si>
    <t>Mês 43</t>
  </si>
  <si>
    <t>Mês 44</t>
  </si>
  <si>
    <t>Mês 45</t>
  </si>
  <si>
    <t>Mês 46</t>
  </si>
  <si>
    <t>Mês 47</t>
  </si>
  <si>
    <t>Mês 48</t>
  </si>
  <si>
    <t>Mês 49</t>
  </si>
  <si>
    <t>Mês 50</t>
  </si>
  <si>
    <t>Mês 51</t>
  </si>
  <si>
    <t>Mês 52</t>
  </si>
  <si>
    <t>Mês 53</t>
  </si>
  <si>
    <t>Mês 54</t>
  </si>
  <si>
    <t>Mês 55</t>
  </si>
  <si>
    <t>Mês 56</t>
  </si>
  <si>
    <t>Mês 57</t>
  </si>
  <si>
    <t>Mês 58</t>
  </si>
  <si>
    <t>Mês 59</t>
  </si>
  <si>
    <t>Mês 60</t>
  </si>
  <si>
    <t>Saldo Parcial</t>
  </si>
  <si>
    <t>Custódia da Corretora (Anual)</t>
  </si>
  <si>
    <t>Custódia - Corretora</t>
  </si>
  <si>
    <t>Custódia - B3</t>
  </si>
  <si>
    <t>Saldo Final</t>
  </si>
  <si>
    <t>Rentabilidade (em $$$)</t>
  </si>
  <si>
    <t>Projeções podem sofrer alterações!!</t>
  </si>
  <si>
    <t>CDI Atual</t>
  </si>
  <si>
    <t>CDI Projetado para o Período</t>
  </si>
  <si>
    <t>Período (em Anos)</t>
  </si>
  <si>
    <t>RESULTADO (Projeção)</t>
  </si>
  <si>
    <t>Média do CDI</t>
  </si>
  <si>
    <t>Reuniões do COPOM no Ano</t>
  </si>
  <si>
    <t>Reuniões do COPOM no período</t>
  </si>
  <si>
    <t>Valor Final Bruto: Pré Fixado</t>
  </si>
  <si>
    <t>Valor Final Bruto: Pós Fixado</t>
  </si>
  <si>
    <t>Rendimento Bruto Futuro: Pré</t>
  </si>
  <si>
    <t>Rendimento Bruto Futuro: Pós</t>
  </si>
  <si>
    <t>Rendimento Líquido Futuro: Pré</t>
  </si>
  <si>
    <t>Rendimento Líquido Futuro: Pós</t>
  </si>
  <si>
    <t>Valor Final Líquido: Pré Fixado</t>
  </si>
  <si>
    <t>Valor Final Líquido: Pós Fixado</t>
  </si>
  <si>
    <t>Diferença Bruta (Pós - Pré)</t>
  </si>
  <si>
    <t>Diferença Líquida (Pós - Pré)</t>
  </si>
  <si>
    <t>Taxa Pré Fixada (ao ano)</t>
  </si>
  <si>
    <t>Taxa Pós Fixada (ao ano)</t>
  </si>
  <si>
    <r>
      <t xml:space="preserve"> - No resultado da Projeção, o campo 'Média do CDI' compreende a média do CDI Atual e do CDI Projetado para o período, utilizando a cotação do derivativo 'DI Futuro'.
- A cotação do contrato de DI Futuro está exposta clicando no hiperlink do campo 'CDI Projetado para o Período'
</t>
    </r>
    <r>
      <rPr>
        <b/>
        <i/>
        <sz val="11"/>
        <color rgb="FFFF0000"/>
        <rFont val="Calibri"/>
        <family val="2"/>
        <scheme val="minor"/>
      </rPr>
      <t>- Projeções podem sofrer variações. Deixar isso Claro.</t>
    </r>
  </si>
  <si>
    <t>Fundo 01</t>
  </si>
  <si>
    <t>Taxa de ADM a.a.</t>
  </si>
  <si>
    <t>ADM Mensal</t>
  </si>
  <si>
    <t>Fundo XWY DI</t>
  </si>
  <si>
    <t>Valor da Aplicação</t>
  </si>
  <si>
    <t>Meses</t>
  </si>
  <si>
    <t>JAN</t>
  </si>
  <si>
    <t>FEV</t>
  </si>
  <si>
    <t>MAR</t>
  </si>
  <si>
    <t>ABR</t>
  </si>
  <si>
    <t>MAI</t>
  </si>
  <si>
    <t>JUN</t>
  </si>
  <si>
    <t>JUL</t>
  </si>
  <si>
    <t>AGO</t>
  </si>
  <si>
    <t>SET</t>
  </si>
  <si>
    <t>OUT</t>
  </si>
  <si>
    <t>NOV</t>
  </si>
  <si>
    <t>DEZ</t>
  </si>
  <si>
    <t>Rentabilidade Bruta de ADM</t>
  </si>
  <si>
    <t>Fator Bruto Mensal</t>
  </si>
  <si>
    <t>Fator Líquido Mensal</t>
  </si>
  <si>
    <t>Rentabilidade Líquida Anual</t>
  </si>
  <si>
    <t>Rentabilidade Bruta Anual</t>
  </si>
  <si>
    <t>Valor Aplicado</t>
  </si>
  <si>
    <t>Valor Pago em ADM</t>
  </si>
  <si>
    <t>Fundo 02</t>
  </si>
  <si>
    <t>Fundo ABC DI</t>
  </si>
  <si>
    <t>Valor Futuro no Fundo</t>
  </si>
  <si>
    <t>Carregamento da Previdência</t>
  </si>
  <si>
    <t>Rentabilidade Mensal da Prev</t>
  </si>
  <si>
    <t>Rentabilidade Mensal do Fundo</t>
  </si>
  <si>
    <t>Come Cotas</t>
  </si>
  <si>
    <t>RESULTADO (10 Anos)</t>
  </si>
  <si>
    <t>Valor Inicial do VGBL</t>
  </si>
  <si>
    <t>Valor Final: VGBL (Progressivo)</t>
  </si>
  <si>
    <t>Valor Final: VGBL (Regressivo)</t>
  </si>
  <si>
    <t>Valor Inicial do Fundo</t>
  </si>
  <si>
    <t>Valor Final do Fundo</t>
  </si>
  <si>
    <t>Total Pago em Come Cotas</t>
  </si>
  <si>
    <t>Projeções podem sofrer alterações. Deixar isso claro.</t>
  </si>
  <si>
    <t>Mês 61</t>
  </si>
  <si>
    <t>Mês 62</t>
  </si>
  <si>
    <t>Mês 63</t>
  </si>
  <si>
    <t>Mês 64</t>
  </si>
  <si>
    <t>Mês 65</t>
  </si>
  <si>
    <t>Mês 66</t>
  </si>
  <si>
    <t>Mês 67</t>
  </si>
  <si>
    <t>Mês 68</t>
  </si>
  <si>
    <t>Mês 69</t>
  </si>
  <si>
    <t>Mês 70</t>
  </si>
  <si>
    <t>Mês 71</t>
  </si>
  <si>
    <t>Mês 72</t>
  </si>
  <si>
    <t>Mês 73</t>
  </si>
  <si>
    <t>Mês 74</t>
  </si>
  <si>
    <t>Mês 75</t>
  </si>
  <si>
    <t>Mês 76</t>
  </si>
  <si>
    <t>Mês 77</t>
  </si>
  <si>
    <t>Mês 78</t>
  </si>
  <si>
    <t>Mês 79</t>
  </si>
  <si>
    <t>Mês 80</t>
  </si>
  <si>
    <t>Mês 81</t>
  </si>
  <si>
    <t>Mês 82</t>
  </si>
  <si>
    <t>Mês 83</t>
  </si>
  <si>
    <t>Mês 84</t>
  </si>
  <si>
    <t>Mês 85</t>
  </si>
  <si>
    <t>Mês 86</t>
  </si>
  <si>
    <t>Mês 87</t>
  </si>
  <si>
    <t>Mês 88</t>
  </si>
  <si>
    <t>Mês 89</t>
  </si>
  <si>
    <t>Mês 90</t>
  </si>
  <si>
    <t>Mês 91</t>
  </si>
  <si>
    <t>Mês 92</t>
  </si>
  <si>
    <t>Mês 93</t>
  </si>
  <si>
    <t>Mês 94</t>
  </si>
  <si>
    <t>Mês 95</t>
  </si>
  <si>
    <t>Mês 96</t>
  </si>
  <si>
    <t>Mês 97</t>
  </si>
  <si>
    <t>Mês 98</t>
  </si>
  <si>
    <t>Mês 99</t>
  </si>
  <si>
    <t>Mês 100</t>
  </si>
  <si>
    <t>Mês 101</t>
  </si>
  <si>
    <t>Mês 102</t>
  </si>
  <si>
    <t>Mês 103</t>
  </si>
  <si>
    <t>Mês 104</t>
  </si>
  <si>
    <t>Mês 105</t>
  </si>
  <si>
    <t>Mês 106</t>
  </si>
  <si>
    <t>Mês 107</t>
  </si>
  <si>
    <t>Mês 108</t>
  </si>
  <si>
    <t>Mês 109</t>
  </si>
  <si>
    <t>Mês 110</t>
  </si>
  <si>
    <t>Mês 111</t>
  </si>
  <si>
    <t>Mês 112</t>
  </si>
  <si>
    <t>Mês 113</t>
  </si>
  <si>
    <t>Mês 114</t>
  </si>
  <si>
    <t>Mês 115</t>
  </si>
  <si>
    <t>Mês 116</t>
  </si>
  <si>
    <t>Mês 117</t>
  </si>
  <si>
    <t>Mês 118</t>
  </si>
  <si>
    <t>Mês 119</t>
  </si>
  <si>
    <t>Mês 120</t>
  </si>
  <si>
    <t>Valor do Carregamento do VGBL</t>
  </si>
  <si>
    <t>Top Down</t>
  </si>
  <si>
    <t>Bottom Up</t>
  </si>
  <si>
    <t>Long Only</t>
  </si>
  <si>
    <r>
      <t xml:space="preserve">• São fundos constituídos com o objetivo de </t>
    </r>
    <r>
      <rPr>
        <b/>
        <sz val="11"/>
        <color theme="1"/>
        <rFont val="Calibri"/>
        <family val="2"/>
        <scheme val="minor"/>
      </rPr>
      <t>investir no mercado de ações</t>
    </r>
    <r>
      <rPr>
        <sz val="11"/>
        <color theme="1"/>
        <rFont val="Calibri"/>
        <family val="2"/>
        <scheme val="minor"/>
      </rPr>
      <t xml:space="preserve">. Portanto, têm como principal fator de risco a variação de preços de ações admitidas à negociação no mercado organizado.
• </t>
    </r>
    <r>
      <rPr>
        <b/>
        <sz val="11"/>
        <color theme="1"/>
        <rFont val="Calibri"/>
        <family val="2"/>
        <scheme val="minor"/>
      </rPr>
      <t>Devem investir no mínimo 67% do seu patrimônio em ações admitidas à negociação em mercado organizado</t>
    </r>
    <r>
      <rPr>
        <sz val="11"/>
        <color theme="1"/>
        <rFont val="Calibri"/>
        <family val="2"/>
        <scheme val="minor"/>
      </rPr>
      <t xml:space="preserve"> ou em ativos relacionados, como bônus ou recibos de subscrição, certificados de depósito de ações, cotas de fundos de ações, cotas dos fundos de índice de ações e Brazilian Depositary Receipts (BDR) classificados com nível II e III.</t>
    </r>
  </si>
  <si>
    <r>
      <t xml:space="preserve">• Bottom-up pode ser entendido como algo próximo a “de baixo para cima”.
• O ponto é que esse tipo de estratégia parte do micro para o macro. Aqui, o micro trata da empresa em si e o macro da economia de forma geral.
• Logo, </t>
    </r>
    <r>
      <rPr>
        <b/>
        <sz val="11"/>
        <color theme="1"/>
        <rFont val="Calibri"/>
        <family val="2"/>
        <scheme val="minor"/>
      </rPr>
      <t>a estratégia bottom-up deverá focar primeiramente nos aspectos financeiros específicos de cada empresa</t>
    </r>
    <r>
      <rPr>
        <sz val="11"/>
        <color theme="1"/>
        <rFont val="Calibri"/>
        <family val="2"/>
        <scheme val="minor"/>
      </rPr>
      <t>. Só depois é que ela partirá para o estado macroeconômico do local em que a empresa está inserida.</t>
    </r>
  </si>
  <si>
    <r>
      <t xml:space="preserve">• Nos fundos cambiais </t>
    </r>
    <r>
      <rPr>
        <b/>
        <sz val="11"/>
        <color theme="1"/>
        <rFont val="Calibri"/>
        <family val="2"/>
        <scheme val="minor"/>
      </rPr>
      <t>o principal fator de risco da carteira é a flutuação do preço da moeda estrangeira ou a variação de uma taxa de juros chamada de cupom cambial</t>
    </r>
    <r>
      <rPr>
        <sz val="11"/>
        <color theme="1"/>
        <rFont val="Calibri"/>
        <family val="2"/>
        <scheme val="minor"/>
      </rPr>
      <t xml:space="preserve">.
• </t>
    </r>
    <r>
      <rPr>
        <b/>
        <sz val="11"/>
        <color theme="1"/>
        <rFont val="Calibri"/>
        <family val="2"/>
        <scheme val="minor"/>
      </rPr>
      <t>Devem manter, no mínimo, 80% de seu patrimônio investido em ativos que sejam relacionados, direta ou indiretamente (via derivativos), a esses fatores de risco</t>
    </r>
    <r>
      <rPr>
        <sz val="11"/>
        <color theme="1"/>
        <rFont val="Calibri"/>
        <family val="2"/>
        <scheme val="minor"/>
      </rPr>
      <t>.
• Os mais conhecidos são os chamados Fundos Cambiais de Dólar, que buscam acompanhar as variações na cotação da moeda americana. Podem ser opção para investidores que buscam proteção contra variações cambiais ou que estejam programando uma viagem ao exterior.</t>
    </r>
  </si>
  <si>
    <r>
      <t xml:space="preserve">• </t>
    </r>
    <r>
      <rPr>
        <b/>
        <sz val="11"/>
        <color theme="1"/>
        <rFont val="Calibri"/>
        <family val="2"/>
        <scheme val="minor"/>
      </rPr>
      <t>Os Fundos de Capital Protegido oferecem oportunidades para quem busca investimentos considerados de maior risco, mas ao mesmo tempo procura a preservação do capital inicia</t>
    </r>
    <r>
      <rPr>
        <sz val="11"/>
        <color theme="1"/>
        <rFont val="Calibri"/>
        <family val="2"/>
        <scheme val="minor"/>
      </rPr>
      <t>l. Ou seja, esse tipo de investimento proporciona uma possibilidade de rentabilidade superior às aplicações mais conservadoras, no entanto possui uma estratégia de proteção do seu dinheiro investido em cenários de baixa.
•</t>
    </r>
    <r>
      <rPr>
        <b/>
        <sz val="11"/>
        <color theme="1"/>
        <rFont val="Calibri"/>
        <family val="2"/>
        <scheme val="minor"/>
      </rPr>
      <t xml:space="preserve"> O Fundo de Capital Protegido é um Fundo de Investimento Multimercado</t>
    </r>
    <r>
      <rPr>
        <sz val="11"/>
        <color theme="1"/>
        <rFont val="Calibri"/>
        <family val="2"/>
        <scheme val="minor"/>
      </rPr>
      <t xml:space="preserve"> que busca obter uma rentabilidade vinculado a performance de algum ativo. Os exemplos mais comuns são Ações, Índice de Ações ou Commodities, como o Ouro.</t>
    </r>
  </si>
  <si>
    <r>
      <t xml:space="preserve">• Fundo de Crédito Privado é um tipo de fundo em que você pode investir, que possui parte relevante de seu patrimônio aplicado em títulos de renda fixa de emissores (empresas) privados.
• </t>
    </r>
    <r>
      <rPr>
        <b/>
        <sz val="11"/>
        <color theme="1"/>
        <rFont val="Calibri"/>
        <family val="2"/>
        <scheme val="minor"/>
      </rPr>
      <t>Os principais títulos de crédito privado são as debêntures, notas promissórias e os certificados de recebíveis como os CRI e CRA</t>
    </r>
    <r>
      <rPr>
        <sz val="11"/>
        <color theme="1"/>
        <rFont val="Calibri"/>
        <family val="2"/>
        <scheme val="minor"/>
      </rPr>
      <t xml:space="preserve">.
• </t>
    </r>
    <r>
      <rPr>
        <b/>
        <sz val="11"/>
        <color theme="1"/>
        <rFont val="Calibri"/>
        <family val="2"/>
        <scheme val="minor"/>
      </rPr>
      <t>Segundo as regras da CVM, se um fundo possui mais de 50% do seu Patrimônio Líquido alocado</t>
    </r>
    <r>
      <rPr>
        <sz val="11"/>
        <color theme="1"/>
        <rFont val="Calibri"/>
        <family val="2"/>
        <scheme val="minor"/>
      </rPr>
      <t xml:space="preserve"> nesse tipo de emissor, deve levar em seu nome a expressão “Crédito Privado”.</t>
    </r>
  </si>
  <si>
    <r>
      <t xml:space="preserve">• </t>
    </r>
    <r>
      <rPr>
        <b/>
        <sz val="11"/>
        <color theme="1"/>
        <rFont val="Calibri"/>
        <family val="2"/>
        <scheme val="minor"/>
      </rPr>
      <t>O FIC compra cotas de outros fundos de investimentos disponíveis no mercado</t>
    </r>
    <r>
      <rPr>
        <sz val="11"/>
        <color theme="1"/>
        <rFont val="Calibri"/>
        <family val="2"/>
        <scheme val="minor"/>
      </rPr>
      <t xml:space="preserve">. Esta aplicação é emitida por instituições financeiras, onde há uma equipe que gerencia toda a composição da carteira.
• </t>
    </r>
    <r>
      <rPr>
        <b/>
        <sz val="11"/>
        <color theme="1"/>
        <rFont val="Calibri"/>
        <family val="2"/>
        <scheme val="minor"/>
      </rPr>
      <t>A CVM (Comissão de Valores Mobiliários) define que deve ser investido, no mínimo, 95% do patrimônio em cotas de fundos de investimentos de uma mesma classe</t>
    </r>
    <r>
      <rPr>
        <sz val="11"/>
        <color theme="1"/>
        <rFont val="Calibri"/>
        <family val="2"/>
        <scheme val="minor"/>
      </rPr>
      <t xml:space="preserve">, como renda fixa, renda variável ou câmbio.
• </t>
    </r>
    <r>
      <rPr>
        <b/>
        <sz val="11"/>
        <color theme="1"/>
        <rFont val="Calibri"/>
        <family val="2"/>
        <scheme val="minor"/>
      </rPr>
      <t>Os outros 5% podem ser alocados em ativos de renda fixa.</t>
    </r>
  </si>
  <si>
    <r>
      <t xml:space="preserve">• Fundos Imobiliários (FII) são fundos de investimento destinados à aplicação em empreendimentos imobiliários, o que inclui, além da aquisição de direitos reais sobre bens imóveis, </t>
    </r>
    <r>
      <rPr>
        <b/>
        <sz val="11"/>
        <color theme="1"/>
        <rFont val="Calibri"/>
        <family val="2"/>
        <scheme val="minor"/>
      </rPr>
      <t>o investimento em títulos relacionados ao mercado imobiliário, como LCI, LH, CEPAC, CRI e outros previstos na regulamentação</t>
    </r>
    <r>
      <rPr>
        <sz val="11"/>
        <color theme="1"/>
        <rFont val="Calibri"/>
        <family val="2"/>
        <scheme val="minor"/>
      </rPr>
      <t xml:space="preserve">.
• </t>
    </r>
    <r>
      <rPr>
        <b/>
        <sz val="11"/>
        <color theme="1"/>
        <rFont val="Calibri"/>
        <family val="2"/>
        <scheme val="minor"/>
      </rPr>
      <t>Os FII foram criados pela Lei nº 8.668/93 e são regulamentados pela Instrução CVM nº 472/08</t>
    </r>
    <r>
      <rPr>
        <sz val="11"/>
        <color theme="1"/>
        <rFont val="Calibri"/>
        <family val="2"/>
        <scheme val="minor"/>
      </rPr>
      <t xml:space="preserve">.
• </t>
    </r>
    <r>
      <rPr>
        <b/>
        <sz val="11"/>
        <color theme="1"/>
        <rFont val="Calibri"/>
        <family val="2"/>
        <scheme val="minor"/>
      </rPr>
      <t>Os FII são condomínios fechados, o que significa que as suas cotas não podem ser resgatadas a pedido dos cotistas</t>
    </r>
    <r>
      <rPr>
        <sz val="11"/>
        <color theme="1"/>
        <rFont val="Calibri"/>
        <family val="2"/>
        <scheme val="minor"/>
      </rPr>
      <t xml:space="preserve">. O resgate só é permitido em caso de liquidação. </t>
    </r>
  </si>
  <si>
    <r>
      <t xml:space="preserve">• O FIP (Fundo de Investimento em Participações), constituído sob a forma de condomínio fechado, </t>
    </r>
    <r>
      <rPr>
        <b/>
        <sz val="11"/>
        <color theme="1"/>
        <rFont val="Calibri"/>
        <family val="2"/>
        <scheme val="minor"/>
      </rPr>
      <t>é uma comunhão de recursos destinados à aquisição de ações, debêntures, bônus de subscrição ou outros títulos e valores mobiliários conversíveis</t>
    </r>
    <r>
      <rPr>
        <sz val="11"/>
        <color theme="1"/>
        <rFont val="Calibri"/>
        <family val="2"/>
        <scheme val="minor"/>
      </rPr>
      <t xml:space="preserve"> ou permutáveis em ações de emissão de companhias abertas ou fechadas, participando do processo decisório da companhia investida.
•</t>
    </r>
    <r>
      <rPr>
        <b/>
        <sz val="11"/>
        <color theme="1"/>
        <rFont val="Calibri"/>
        <family val="2"/>
        <scheme val="minor"/>
      </rPr>
      <t xml:space="preserve"> O acesso às aplicação em FIP é restrito a investidores qualificados, conforme definido pelo artigo 109, da Instrução CVM nº 409, de 18/08/2004.</t>
    </r>
  </si>
  <si>
    <r>
      <t xml:space="preserve">• </t>
    </r>
    <r>
      <rPr>
        <b/>
        <sz val="11"/>
        <color theme="1"/>
        <rFont val="Calibri"/>
        <family val="2"/>
        <scheme val="minor"/>
      </rPr>
      <t>Este tipo de investimento possui apenas a limitação de não investir mais de 67% do seu patrimônio líquido em ativos no exterior</t>
    </r>
    <r>
      <rPr>
        <sz val="11"/>
        <color theme="1"/>
        <rFont val="Calibri"/>
        <family val="2"/>
        <scheme val="minor"/>
      </rPr>
      <t>.
• Não há limite de concentração para investir em ativos financeiros no exterior. Existem diversos fundos como os de “Renda fixa – Dívida externa” e os destinados a investidores profissionais que recebem em seu nome o sufixo “Investimento no exterior”.</t>
    </r>
  </si>
  <si>
    <r>
      <t xml:space="preserve">• </t>
    </r>
    <r>
      <rPr>
        <b/>
        <sz val="11"/>
        <color theme="1"/>
        <rFont val="Calibri"/>
        <family val="2"/>
        <scheme val="minor"/>
      </rPr>
      <t>São fundos que fazem operações com ativos, principalmente ações, mantendo tanto posições compradas como posições vendidas. Sendo que o que sobra no caixa, ou seja, o que não estiver sendo investido deve ser aplicado respeitando os critérios para os Fundos Referenciados DI.</t>
    </r>
    <r>
      <rPr>
        <sz val="11"/>
        <color theme="1"/>
        <rFont val="Calibri"/>
        <family val="2"/>
        <scheme val="minor"/>
      </rPr>
      <t xml:space="preserve">
• Uma operação Long and Short, consiste em uma operação onde você compra um ativo apostando na alta do mesmo, esperando comprar a preços mais baixos que o preço vendido, ganhando assim com a queda no preço do mesmo.</t>
    </r>
  </si>
  <si>
    <r>
      <t xml:space="preserve">• </t>
    </r>
    <r>
      <rPr>
        <b/>
        <sz val="11"/>
        <color theme="1"/>
        <rFont val="Calibri"/>
        <family val="2"/>
        <scheme val="minor"/>
      </rPr>
      <t>Os fundos long biased, em suma, são tipos de fundos de ações que permitem lucrar, ao mesmo tempo, com a alta e a baixa nos preços dos papéis, o que significa ganhar mesmo quando o mercado estiver em baixa.</t>
    </r>
    <r>
      <rPr>
        <sz val="11"/>
        <color theme="1"/>
        <rFont val="Calibri"/>
        <family val="2"/>
        <scheme val="minor"/>
      </rPr>
      <t xml:space="preserve">
• </t>
    </r>
    <r>
      <rPr>
        <b/>
        <sz val="11"/>
        <color theme="1"/>
        <rFont val="Calibri"/>
        <family val="2"/>
        <scheme val="minor"/>
      </rPr>
      <t xml:space="preserve">Os fundos long biased não dependem apenas da compra de ação para ganhar com a alta. Mas possuem posições vendidas que geram ganhos quando o preço do papel cai. </t>
    </r>
    <r>
      <rPr>
        <sz val="11"/>
        <color theme="1"/>
        <rFont val="Calibri"/>
        <family val="2"/>
        <scheme val="minor"/>
      </rPr>
      <t>Como qualquer fundo de ações, esse investimento precisa manter ao menos 67% da carteira alocada em ações.</t>
    </r>
  </si>
  <si>
    <r>
      <t xml:space="preserve">• </t>
    </r>
    <r>
      <rPr>
        <b/>
        <sz val="11"/>
        <color theme="1"/>
        <rFont val="Calibri"/>
        <family val="2"/>
        <scheme val="minor"/>
      </rPr>
      <t>Um fundo Long Only é aquele que só pode operar comprado, em outras palavras, somente efetuar a ponta Long.</t>
    </r>
    <r>
      <rPr>
        <sz val="11"/>
        <color theme="1"/>
        <rFont val="Calibri"/>
        <family val="2"/>
        <scheme val="minor"/>
      </rPr>
      <t xml:space="preserve"> Assim, a forma de se obter ganhos é apostar nas altas dos preços e comprar ações que se espera haver valorização.
• O pior cenário para um fundo Long Only é apostar na alta e as ações compradas se desvalorizarem, chegando ao limite de desvalorização, que é R$0,00. Assim, ele perderá o valor total da compra das ações.</t>
    </r>
  </si>
  <si>
    <r>
      <t xml:space="preserve">• São Fundos Multimercados que possuem um prazo de investimento mais longo, com posições mais sólidas e </t>
    </r>
    <r>
      <rPr>
        <b/>
        <sz val="11"/>
        <color theme="1"/>
        <rFont val="Calibri"/>
        <family val="2"/>
        <scheme val="minor"/>
      </rPr>
      <t>mais focadas em grandes questões estruturais e macroeconômicas.</t>
    </r>
  </si>
  <si>
    <r>
      <t xml:space="preserve">• São Fundos Multimercados que possuem um prazo de investimento mais curto, com uma maior sensibilidade aos preços e </t>
    </r>
    <r>
      <rPr>
        <b/>
        <sz val="11"/>
        <color theme="1"/>
        <rFont val="Calibri"/>
        <family val="2"/>
        <scheme val="minor"/>
      </rPr>
      <t>a questões macroeconômicas de curto prazo.</t>
    </r>
  </si>
  <si>
    <r>
      <t>•</t>
    </r>
    <r>
      <rPr>
        <b/>
        <sz val="11"/>
        <color theme="1"/>
        <rFont val="Calibri"/>
        <family val="2"/>
        <scheme val="minor"/>
      </rPr>
      <t xml:space="preserve"> Um fundo multimercado é uma categoria de fundo de investimento que tem uma política de investimentos determinada a mesclar aplicações de vários mercados, como renda fixa, ações, câmbio, entre outros.</t>
    </r>
    <r>
      <rPr>
        <sz val="11"/>
        <color theme="1"/>
        <rFont val="Calibri"/>
        <family val="2"/>
        <scheme val="minor"/>
      </rPr>
      <t xml:space="preserve">
• Essa é uma ótima opção para quem busca uma diversificação de investimentos simples e prática para a carteira a fim de garantir menos risco e mais rentabilidade.</t>
    </r>
  </si>
  <si>
    <r>
      <t xml:space="preserve">• Buscam acompanhar a variação de determinado indicador de referência (benchmark) definido em seu objetivo.
• Para isso, </t>
    </r>
    <r>
      <rPr>
        <b/>
        <sz val="11"/>
        <color theme="1"/>
        <rFont val="Calibri"/>
        <family val="2"/>
        <scheme val="minor"/>
      </rPr>
      <t>devem manter no mínimo 95% de seu patrimônio líquido investido em ativos que acompanhem o indicador e ter no mínimo 80% do patrimônio representado por títulos públicos federais, ativos de renda fixa considerados de baixo risco de crédito.</t>
    </r>
  </si>
  <si>
    <r>
      <t xml:space="preserve">• Apresentam como principal fator de risco de sua carteira a variação da taxa de juros, de índice de preços, ou ambos. </t>
    </r>
    <r>
      <rPr>
        <b/>
        <sz val="11"/>
        <color theme="1"/>
        <rFont val="Calibri"/>
        <family val="2"/>
        <scheme val="minor"/>
      </rPr>
      <t>Devem ter pelo menos 80% da sua carteira investida em ativos que estejam relacionados a esses fatores de risco.</t>
    </r>
    <r>
      <rPr>
        <sz val="11"/>
        <color theme="1"/>
        <rFont val="Calibri"/>
        <family val="2"/>
        <scheme val="minor"/>
      </rPr>
      <t xml:space="preserve">
• Na prática, esses ativos financeiros são, em sua maioria, os chamados títulos de renda fixa,</t>
    </r>
    <r>
      <rPr>
        <b/>
        <sz val="11"/>
        <color theme="1"/>
        <rFont val="Calibri"/>
        <family val="2"/>
        <scheme val="minor"/>
      </rPr>
      <t xml:space="preserve"> como os títulos públicos federais, as debêntures e os títulos de emissão bancária, como CDBs, LCIs, etc.</t>
    </r>
    <r>
      <rPr>
        <sz val="11"/>
        <color theme="1"/>
        <rFont val="Calibri"/>
        <family val="2"/>
        <scheme val="minor"/>
      </rPr>
      <t xml:space="preserve">
• Podem incluir na carteira títulos que apresentam maior risco de crédito, como os títulos privados, e podem utilizar derivativos tanto para proteção da carteira quanto para alavancagem.</t>
    </r>
  </si>
  <si>
    <r>
      <t>• Top-down pode ser lido como algo que signifique “de cima para baixo”.
• Assim, a abordagem top-down começa olhando o macro em direção ao micro.</t>
    </r>
    <r>
      <rPr>
        <b/>
        <sz val="11"/>
        <color theme="1"/>
        <rFont val="Calibri"/>
        <family val="2"/>
        <scheme val="minor"/>
      </rPr>
      <t xml:space="preserve"> A visão começa de longe e uma lupa vai sendo colocada. </t>
    </r>
    <r>
      <rPr>
        <sz val="11"/>
        <color theme="1"/>
        <rFont val="Calibri"/>
        <family val="2"/>
        <scheme val="minor"/>
      </rPr>
      <t xml:space="preserve">
• </t>
    </r>
    <r>
      <rPr>
        <b/>
        <sz val="11"/>
        <color theme="1"/>
        <rFont val="Calibri"/>
        <family val="2"/>
        <scheme val="minor"/>
      </rPr>
      <t>O “macro” aqui significa o cenário econômico mesmo, o aspecto macroeconômico do país como o crescimento do PIB ou do setor que a empresa está inserida, a inflação, às taxas de juros, o valor do câmbio, a taxa de desemprego e assim por diante.</t>
    </r>
  </si>
  <si>
    <r>
      <t xml:space="preserve">Investimentos </t>
    </r>
    <r>
      <rPr>
        <b/>
        <sz val="15"/>
        <color rgb="FFFF0000"/>
        <rFont val="Calibri"/>
        <family val="2"/>
        <scheme val="minor"/>
      </rPr>
      <t>Não</t>
    </r>
    <r>
      <rPr>
        <b/>
        <sz val="15"/>
        <color theme="0"/>
        <rFont val="Calibri"/>
        <family val="2"/>
        <scheme val="minor"/>
      </rPr>
      <t xml:space="preserve"> Cobertos</t>
    </r>
  </si>
  <si>
    <t>FUNDO IMOBILIÁRIO</t>
  </si>
  <si>
    <t>Valor da Cota (Cotação)</t>
  </si>
  <si>
    <t>Yield Mensal (Aluguel)</t>
  </si>
  <si>
    <t>Resultado</t>
  </si>
  <si>
    <t>Montante que deveria ter Aplicado</t>
  </si>
  <si>
    <t>Valor da Renda a ser Creditada</t>
  </si>
  <si>
    <t>Renda Líquida Desejada (Mensal)</t>
  </si>
  <si>
    <t>Qtde. de Cotas que deveria ter (aprox.)</t>
  </si>
  <si>
    <t>NTN-B</t>
  </si>
  <si>
    <t>NTN-F</t>
  </si>
  <si>
    <t>VNA</t>
  </si>
  <si>
    <t>Valor de Face (VF)</t>
  </si>
  <si>
    <t>Renda Semestral Desejada</t>
  </si>
  <si>
    <t>Yield Semestral (6 Meses)</t>
  </si>
  <si>
    <t>Cupom Semestral</t>
  </si>
  <si>
    <t>Qtde. de Papeis que compraria (aprox.)</t>
  </si>
  <si>
    <t>Montante que deveria ter aplicado</t>
  </si>
  <si>
    <t>Valor de Renda a ser creditada (a.s.)</t>
  </si>
  <si>
    <t>Alíquota de IR (Cupom)</t>
  </si>
  <si>
    <t>Cupom - Imposto de Renda</t>
  </si>
  <si>
    <t>Valor da Renda a ser creditada (a.s.)</t>
  </si>
  <si>
    <t>BRUTO</t>
  </si>
  <si>
    <t>LÍQUIDO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</si>
</sst>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8" formatCode="&quot;R$&quot;\ #,##0.00;[Red]\-&quot;R$&quot;\ #,##0.00"/>
    <numFmt numFmtId="44" formatCode="_-&quot;R$&quot;\ * #,##0.00_-;\-&quot;R$&quot;\ * #,##0.00_-;_-&quot;R$&quot;\ * &quot;-&quot;??_-;_-@_-"/>
    <numFmt numFmtId="164" formatCode="0.000%"/>
    <numFmt numFmtId="165" formatCode="&quot;R$&quot;\ #,##0.00"/>
    <numFmt numFmtId="166" formatCode="0.00000%"/>
    <numFmt numFmtId="167" formatCode="_-[$R$-416]\ * #,##0.00_-;\-[$R$-416]\ * #,##0.00_-;_-[$R$-416]\ * &quot;-&quot;??_-;_-@_-"/>
    <numFmt numFmtId="168" formatCode="0.0%"/>
    <numFmt numFmtId="169" formatCode="0.000"/>
    <numFmt numFmtId="170" formatCode="0.0"/>
    <numFmt numFmtId="171" formatCode="0.0000%"/>
    <numFmt numFmtId="173" formatCode="0.0000"/>
    <numFmt numFmtId="175" formatCode="_-&quot;R$&quot;\ * #,##0.000_-;\-&quot;R$&quot;\ * #,##0.000_-;_-&quot;R$&quot;\ * &quot;-&quot;???_-;_-@_-"/>
    <numFmt numFmtId="176" formatCode="0.000000"/>
    <numFmt numFmtId="179" formatCode="_-&quot;R$&quot;\ * #,##0.00_-;\-&quot;R$&quot;\ * #,##0.00_-;_-&quot;R$&quot;\ * &quot;-&quot;????_-;_-@_-"/>
  </numFmts>
  <fonts count="32" x14ac:knownFonts="1">
    <font>
      <sz val="11"/>
      <color theme="1"/>
      <name val="Calibri"/>
      <family val="2"/>
      <scheme val="minor"/>
    </font>
    <font>
      <sz val="11"/>
      <color theme="1"/>
      <name val="Calibri"/>
      <family val="2"/>
      <scheme val="minor"/>
    </font>
    <font>
      <b/>
      <sz val="11"/>
      <color theme="0"/>
      <name val="Calibri"/>
      <family val="2"/>
      <scheme val="minor"/>
    </font>
    <font>
      <sz val="25"/>
      <color theme="1"/>
      <name val="Calibri"/>
      <family val="2"/>
      <scheme val="minor"/>
    </font>
    <font>
      <u/>
      <sz val="11"/>
      <color theme="10"/>
      <name val="Calibri"/>
      <family val="2"/>
      <scheme val="minor"/>
    </font>
    <font>
      <b/>
      <sz val="25"/>
      <color theme="1"/>
      <name val="Calibri"/>
      <family val="2"/>
      <scheme val="minor"/>
    </font>
    <font>
      <b/>
      <i/>
      <sz val="11"/>
      <name val="Calibri"/>
      <family val="2"/>
      <scheme val="minor"/>
    </font>
    <font>
      <b/>
      <sz val="12"/>
      <color theme="0"/>
      <name val="Calibri"/>
      <family val="2"/>
      <scheme val="minor"/>
    </font>
    <font>
      <sz val="12"/>
      <color theme="1"/>
      <name val="Calibri"/>
      <family val="2"/>
      <scheme val="minor"/>
    </font>
    <font>
      <b/>
      <sz val="12"/>
      <color theme="1"/>
      <name val="Calibri"/>
      <family val="2"/>
      <scheme val="minor"/>
    </font>
    <font>
      <b/>
      <sz val="12"/>
      <color rgb="FFFF0000"/>
      <name val="Calibri"/>
      <family val="2"/>
      <scheme val="minor"/>
    </font>
    <font>
      <b/>
      <i/>
      <sz val="11"/>
      <color rgb="FFFF0000"/>
      <name val="Calibri"/>
      <family val="2"/>
      <scheme val="minor"/>
    </font>
    <font>
      <sz val="12"/>
      <name val="Calibri"/>
      <family val="2"/>
      <scheme val="minor"/>
    </font>
    <font>
      <sz val="8"/>
      <color rgb="FF818181"/>
      <name val="Arial"/>
      <family val="2"/>
    </font>
    <font>
      <b/>
      <sz val="12"/>
      <color rgb="FFFFFFFF"/>
      <name val="Calibri"/>
      <family val="2"/>
      <scheme val="minor"/>
    </font>
    <font>
      <b/>
      <sz val="12"/>
      <name val="Calibri"/>
      <family val="2"/>
      <scheme val="minor"/>
    </font>
    <font>
      <b/>
      <i/>
      <sz val="12"/>
      <color theme="1"/>
      <name val="Calibri"/>
      <family val="2"/>
      <scheme val="minor"/>
    </font>
    <font>
      <b/>
      <i/>
      <sz val="12"/>
      <color rgb="FFFF0000"/>
      <name val="Calibri"/>
      <family val="2"/>
      <scheme val="minor"/>
    </font>
    <font>
      <b/>
      <i/>
      <sz val="12"/>
      <name val="Calibri"/>
      <family val="2"/>
      <scheme val="minor"/>
    </font>
    <font>
      <b/>
      <sz val="12"/>
      <color rgb="FF00B050"/>
      <name val="Calibri"/>
      <family val="2"/>
      <scheme val="minor"/>
    </font>
    <font>
      <b/>
      <sz val="12"/>
      <color rgb="FFFFC000"/>
      <name val="Calibri"/>
      <family val="2"/>
      <scheme val="minor"/>
    </font>
    <font>
      <b/>
      <sz val="11"/>
      <color rgb="FFFF0000"/>
      <name val="Calibri"/>
      <family val="2"/>
      <scheme val="minor"/>
    </font>
    <font>
      <b/>
      <i/>
      <sz val="11"/>
      <color theme="1"/>
      <name val="Calibri"/>
      <family val="2"/>
      <scheme val="minor"/>
    </font>
    <font>
      <b/>
      <sz val="12"/>
      <color rgb="FFC00000"/>
      <name val="Calibri"/>
      <family val="2"/>
      <scheme val="minor"/>
    </font>
    <font>
      <b/>
      <sz val="11"/>
      <color theme="1"/>
      <name val="Calibri"/>
      <family val="2"/>
      <scheme val="minor"/>
    </font>
    <font>
      <b/>
      <sz val="15"/>
      <color rgb="FFFFC000"/>
      <name val="Calibri"/>
      <family val="2"/>
      <scheme val="minor"/>
    </font>
    <font>
      <b/>
      <sz val="15"/>
      <color rgb="FF0070C0"/>
      <name val="Calibri"/>
      <family val="2"/>
      <scheme val="minor"/>
    </font>
    <font>
      <b/>
      <sz val="15"/>
      <color theme="0"/>
      <name val="Calibri"/>
      <family val="2"/>
      <scheme val="minor"/>
    </font>
    <font>
      <b/>
      <sz val="11"/>
      <color rgb="FF00B050"/>
      <name val="Calibri"/>
      <family val="2"/>
      <scheme val="minor"/>
    </font>
    <font>
      <i/>
      <sz val="11"/>
      <color theme="1"/>
      <name val="Calibri"/>
      <family val="2"/>
      <scheme val="minor"/>
    </font>
    <font>
      <b/>
      <sz val="15"/>
      <color rgb="FFFF0000"/>
      <name val="Calibri"/>
      <family val="2"/>
      <scheme val="minor"/>
    </font>
    <font>
      <b/>
      <sz val="11"/>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3" tint="-0.499984740745262"/>
        <bgColor indexed="64"/>
      </patternFill>
    </fill>
    <fill>
      <patternFill patternType="solid">
        <fgColor rgb="FFFFFF00"/>
        <bgColor indexed="64"/>
      </patternFill>
    </fill>
    <fill>
      <patternFill patternType="solid">
        <fgColor theme="3" tint="-0.249977111117893"/>
        <bgColor indexed="64"/>
      </patternFill>
    </fill>
    <fill>
      <patternFill patternType="solid">
        <fgColor rgb="FFFFFFB9"/>
        <bgColor indexed="64"/>
      </patternFill>
    </fill>
    <fill>
      <patternFill patternType="solid">
        <fgColor theme="5" tint="0.59999389629810485"/>
        <bgColor indexed="64"/>
      </patternFill>
    </fill>
    <fill>
      <patternFill patternType="solid">
        <fgColor rgb="FFF9F9F9"/>
        <bgColor indexed="64"/>
      </patternFill>
    </fill>
    <fill>
      <patternFill patternType="solid">
        <fgColor rgb="FFF4F4F4"/>
        <bgColor indexed="64"/>
      </patternFill>
    </fill>
    <fill>
      <patternFill patternType="solid">
        <fgColor theme="8" tint="0.59999389629810485"/>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right/>
      <top style="thin">
        <color indexed="64"/>
      </top>
      <bottom/>
      <diagonal/>
    </border>
    <border>
      <left style="medium">
        <color rgb="FFA2A9B1"/>
      </left>
      <right style="medium">
        <color rgb="FFA2A9B1"/>
      </right>
      <top/>
      <bottom style="medium">
        <color rgb="FFA2A9B1"/>
      </bottom>
      <diagonal/>
    </border>
    <border>
      <left style="medium">
        <color rgb="FFA2A9B1"/>
      </left>
      <right style="medium">
        <color rgb="FFA2A9B1"/>
      </right>
      <top style="medium">
        <color rgb="FFA2A9B1"/>
      </top>
      <bottom style="medium">
        <color rgb="FFA2A9B1"/>
      </bottom>
      <diagonal/>
    </border>
    <border>
      <left style="medium">
        <color rgb="FFA2A9B1"/>
      </left>
      <right style="medium">
        <color rgb="FFA2A9B1"/>
      </right>
      <top/>
      <bottom/>
      <diagonal/>
    </border>
    <border>
      <left style="medium">
        <color rgb="FFA2A9B1"/>
      </left>
      <right style="medium">
        <color rgb="FFA2A9B1"/>
      </right>
      <top style="medium">
        <color rgb="FFA2A9B1"/>
      </top>
      <bottom/>
      <diagonal/>
    </border>
    <border>
      <left/>
      <right style="medium">
        <color rgb="FFA2A9B1"/>
      </right>
      <top/>
      <bottom style="medium">
        <color rgb="FFA2A9B1"/>
      </bottom>
      <diagonal/>
    </border>
    <border>
      <left style="medium">
        <color rgb="FFA2A9B1"/>
      </left>
      <right/>
      <top/>
      <bottom style="medium">
        <color rgb="FFA2A9B1"/>
      </bottom>
      <diagonal/>
    </border>
    <border>
      <left/>
      <right style="medium">
        <color rgb="FFA2A9B1"/>
      </right>
      <top style="medium">
        <color rgb="FFA2A9B1"/>
      </top>
      <bottom/>
      <diagonal/>
    </border>
    <border>
      <left style="medium">
        <color rgb="FFA2A9B1"/>
      </left>
      <right/>
      <top style="medium">
        <color rgb="FFA2A9B1"/>
      </top>
      <bottom/>
      <diagonal/>
    </border>
    <border>
      <left/>
      <right style="medium">
        <color rgb="FFA2A9B1"/>
      </right>
      <top style="medium">
        <color rgb="FFA2A9B1"/>
      </top>
      <bottom style="medium">
        <color rgb="FFA2A9B1"/>
      </bottom>
      <diagonal/>
    </border>
    <border>
      <left style="medium">
        <color rgb="FFA2A9B1"/>
      </left>
      <right/>
      <top style="medium">
        <color rgb="FFA2A9B1"/>
      </top>
      <bottom style="medium">
        <color rgb="FFA2A9B1"/>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s>
  <cellStyleXfs count="4">
    <xf numFmtId="0" fontId="0" fillId="0" borderId="0"/>
    <xf numFmtId="9" fontId="1" fillId="0" borderId="0" applyFont="0" applyFill="0" applyBorder="0" applyAlignment="0" applyProtection="0"/>
    <xf numFmtId="0" fontId="4" fillId="0" borderId="0" applyNumberFormat="0" applyFill="0" applyBorder="0" applyAlignment="0" applyProtection="0"/>
    <xf numFmtId="44" fontId="1" fillId="0" borderId="0" applyFont="0" applyFill="0" applyBorder="0" applyAlignment="0" applyProtection="0"/>
  </cellStyleXfs>
  <cellXfs count="313">
    <xf numFmtId="0" fontId="0" fillId="0" borderId="0" xfId="0"/>
    <xf numFmtId="0" fontId="0" fillId="2" borderId="0" xfId="0" applyFill="1"/>
    <xf numFmtId="0" fontId="8" fillId="2" borderId="0" xfId="0" applyFont="1" applyFill="1"/>
    <xf numFmtId="0" fontId="9" fillId="2" borderId="1" xfId="0" applyFont="1" applyFill="1" applyBorder="1" applyAlignment="1">
      <alignment horizontal="center" vertical="center"/>
    </xf>
    <xf numFmtId="0" fontId="8" fillId="2" borderId="0" xfId="0" applyFont="1" applyFill="1" applyAlignment="1">
      <alignment horizontal="center"/>
    </xf>
    <xf numFmtId="164" fontId="8" fillId="2" borderId="1" xfId="1" applyNumberFormat="1" applyFont="1" applyFill="1" applyBorder="1"/>
    <xf numFmtId="0" fontId="7" fillId="5" borderId="1" xfId="0" applyFont="1" applyFill="1" applyBorder="1" applyAlignment="1">
      <alignment horizontal="center" vertical="center"/>
    </xf>
    <xf numFmtId="0" fontId="13" fillId="8" borderId="0" xfId="0" applyFont="1" applyFill="1" applyAlignment="1">
      <alignment vertical="center" wrapText="1"/>
    </xf>
    <xf numFmtId="0" fontId="13" fillId="9" borderId="0" xfId="0" applyFont="1" applyFill="1" applyAlignment="1">
      <alignment vertical="center" wrapText="1"/>
    </xf>
    <xf numFmtId="0" fontId="14" fillId="5" borderId="1" xfId="0" applyFont="1" applyFill="1" applyBorder="1" applyAlignment="1">
      <alignment horizontal="center" vertical="center"/>
    </xf>
    <xf numFmtId="0" fontId="3" fillId="2" borderId="0" xfId="0" applyFont="1" applyFill="1" applyAlignment="1">
      <alignment vertical="center"/>
    </xf>
    <xf numFmtId="9" fontId="12" fillId="8" borderId="1" xfId="1" applyFont="1" applyFill="1" applyBorder="1" applyAlignment="1">
      <alignment horizontal="center" vertical="center" wrapText="1"/>
    </xf>
    <xf numFmtId="9" fontId="12" fillId="9" borderId="1" xfId="1" applyFont="1" applyFill="1" applyBorder="1" applyAlignment="1">
      <alignment horizontal="center" vertical="center" wrapText="1"/>
    </xf>
    <xf numFmtId="0" fontId="15" fillId="8" borderId="1" xfId="0" applyFont="1" applyFill="1" applyBorder="1" applyAlignment="1">
      <alignment horizontal="center" vertical="center" wrapText="1"/>
    </xf>
    <xf numFmtId="0" fontId="15" fillId="9" borderId="1" xfId="0" applyFont="1" applyFill="1" applyBorder="1" applyAlignment="1">
      <alignment horizontal="center" vertical="center" wrapText="1"/>
    </xf>
    <xf numFmtId="0" fontId="0" fillId="2" borderId="0" xfId="0" applyFill="1" applyAlignment="1">
      <alignment horizontal="right"/>
    </xf>
    <xf numFmtId="0" fontId="9" fillId="2" borderId="0" xfId="0" applyFont="1" applyFill="1" applyAlignment="1">
      <alignment horizontal="center" vertical="center"/>
    </xf>
    <xf numFmtId="0" fontId="8" fillId="2" borderId="0" xfId="0" applyFont="1" applyFill="1" applyBorder="1" applyAlignment="1">
      <alignment horizontal="left" vertical="center"/>
    </xf>
    <xf numFmtId="0" fontId="0" fillId="2" borderId="0" xfId="0" applyFill="1" applyAlignment="1">
      <alignment vertical="center"/>
    </xf>
    <xf numFmtId="10" fontId="0" fillId="2" borderId="0" xfId="1" applyNumberFormat="1" applyFont="1" applyFill="1" applyBorder="1" applyAlignment="1">
      <alignment horizontal="right" vertical="center"/>
    </xf>
    <xf numFmtId="0" fontId="7" fillId="5" borderId="1" xfId="0" applyFont="1" applyFill="1" applyBorder="1" applyAlignment="1">
      <alignment horizontal="center" vertical="center"/>
    </xf>
    <xf numFmtId="0" fontId="0" fillId="2" borderId="0" xfId="0" applyFill="1" applyBorder="1" applyAlignment="1">
      <alignment vertical="center"/>
    </xf>
    <xf numFmtId="0" fontId="8" fillId="2" borderId="1" xfId="0" applyFont="1" applyFill="1" applyBorder="1" applyAlignment="1">
      <alignment horizontal="center" vertical="center"/>
    </xf>
    <xf numFmtId="0" fontId="8" fillId="2" borderId="0" xfId="0" applyFont="1" applyFill="1" applyBorder="1" applyAlignment="1">
      <alignment vertical="center"/>
    </xf>
    <xf numFmtId="9" fontId="10" fillId="6" borderId="1" xfId="1" applyFont="1" applyFill="1" applyBorder="1"/>
    <xf numFmtId="9" fontId="20" fillId="2" borderId="1" xfId="1" applyFont="1" applyFill="1" applyBorder="1" applyAlignment="1">
      <alignment horizontal="center" vertical="center"/>
    </xf>
    <xf numFmtId="0" fontId="8" fillId="2" borderId="0" xfId="0" applyFont="1" applyFill="1" applyAlignment="1">
      <alignment horizontal="center" vertical="center"/>
    </xf>
    <xf numFmtId="0" fontId="20" fillId="2" borderId="1" xfId="0" applyFont="1" applyFill="1" applyBorder="1" applyAlignment="1">
      <alignment horizontal="center" vertical="center"/>
    </xf>
    <xf numFmtId="9" fontId="10" fillId="6" borderId="1" xfId="0" applyNumberFormat="1" applyFont="1" applyFill="1" applyBorder="1" applyAlignment="1">
      <alignment horizontal="center" vertical="center"/>
    </xf>
    <xf numFmtId="9" fontId="9" fillId="2" borderId="1" xfId="0" applyNumberFormat="1" applyFont="1" applyFill="1" applyBorder="1" applyAlignment="1">
      <alignment horizontal="center" vertical="center"/>
    </xf>
    <xf numFmtId="9" fontId="9" fillId="2" borderId="1" xfId="0" applyNumberFormat="1" applyFont="1" applyFill="1" applyBorder="1"/>
    <xf numFmtId="9" fontId="10" fillId="6" borderId="1" xfId="1" applyFont="1" applyFill="1" applyBorder="1" applyAlignment="1">
      <alignment horizontal="center" vertical="center"/>
    </xf>
    <xf numFmtId="9" fontId="10" fillId="6" borderId="1" xfId="0" applyNumberFormat="1" applyFont="1" applyFill="1" applyBorder="1"/>
    <xf numFmtId="10" fontId="15" fillId="2" borderId="1" xfId="1" applyNumberFormat="1" applyFont="1" applyFill="1" applyBorder="1" applyAlignment="1">
      <alignment vertical="center"/>
    </xf>
    <xf numFmtId="10" fontId="15" fillId="2" borderId="1" xfId="1" applyNumberFormat="1" applyFont="1" applyFill="1" applyBorder="1"/>
    <xf numFmtId="10" fontId="10" fillId="6" borderId="1" xfId="1" applyNumberFormat="1" applyFont="1" applyFill="1" applyBorder="1"/>
    <xf numFmtId="0" fontId="15" fillId="2" borderId="17" xfId="0" applyFont="1" applyFill="1" applyBorder="1" applyAlignment="1">
      <alignment horizontal="center" vertical="center"/>
    </xf>
    <xf numFmtId="0" fontId="15" fillId="2" borderId="19" xfId="0" applyFont="1" applyFill="1" applyBorder="1" applyAlignment="1">
      <alignment horizontal="center" vertical="center"/>
    </xf>
    <xf numFmtId="0" fontId="15" fillId="2" borderId="18" xfId="0" applyFont="1" applyFill="1" applyBorder="1" applyAlignment="1">
      <alignment horizontal="center" vertical="center"/>
    </xf>
    <xf numFmtId="0" fontId="15" fillId="2" borderId="16" xfId="0" applyFont="1" applyFill="1" applyBorder="1" applyAlignment="1">
      <alignment horizontal="center" vertical="center"/>
    </xf>
    <xf numFmtId="0" fontId="23" fillId="2" borderId="17" xfId="0" applyFont="1" applyFill="1" applyBorder="1" applyAlignment="1">
      <alignment vertical="center"/>
    </xf>
    <xf numFmtId="0" fontId="15" fillId="2" borderId="17" xfId="0" applyFont="1" applyFill="1" applyBorder="1" applyAlignment="1">
      <alignment horizontal="center" vertical="center" wrapText="1"/>
    </xf>
    <xf numFmtId="0" fontId="8" fillId="2" borderId="3" xfId="0" applyFont="1" applyFill="1" applyBorder="1" applyAlignment="1">
      <alignment horizontal="center" vertical="center"/>
    </xf>
    <xf numFmtId="0" fontId="8" fillId="2" borderId="5" xfId="0" applyFont="1" applyFill="1" applyBorder="1" applyAlignment="1">
      <alignment horizontal="center" vertical="center"/>
    </xf>
    <xf numFmtId="10" fontId="8" fillId="2" borderId="3" xfId="1" applyNumberFormat="1" applyFont="1" applyFill="1" applyBorder="1" applyAlignment="1">
      <alignment horizontal="center" vertical="center"/>
    </xf>
    <xf numFmtId="0" fontId="9" fillId="2" borderId="3" xfId="0" applyFont="1" applyFill="1" applyBorder="1" applyAlignment="1">
      <alignment horizontal="center" vertical="center"/>
    </xf>
    <xf numFmtId="9" fontId="8" fillId="2" borderId="5" xfId="1" applyFont="1" applyFill="1" applyBorder="1" applyAlignment="1">
      <alignment horizontal="center" vertical="center"/>
    </xf>
    <xf numFmtId="0" fontId="26" fillId="2" borderId="0" xfId="0" applyFont="1" applyFill="1" applyAlignment="1">
      <alignment horizontal="center" vertical="center"/>
    </xf>
    <xf numFmtId="9" fontId="9" fillId="2" borderId="1" xfId="1" applyFont="1" applyFill="1" applyBorder="1" applyAlignment="1">
      <alignment horizontal="center" vertical="center"/>
    </xf>
    <xf numFmtId="0" fontId="7" fillId="5" borderId="1" xfId="0" applyFont="1" applyFill="1" applyBorder="1" applyAlignment="1">
      <alignment horizontal="center" vertical="center"/>
    </xf>
    <xf numFmtId="0" fontId="7" fillId="5" borderId="1" xfId="0" applyFont="1" applyFill="1" applyBorder="1" applyAlignment="1">
      <alignment vertical="center"/>
    </xf>
    <xf numFmtId="168" fontId="8" fillId="2" borderId="27" xfId="1" applyNumberFormat="1" applyFont="1" applyFill="1" applyBorder="1" applyAlignment="1">
      <alignment horizontal="center" vertical="center"/>
    </xf>
    <xf numFmtId="168" fontId="8" fillId="2" borderId="1" xfId="1" applyNumberFormat="1" applyFont="1" applyFill="1" applyBorder="1" applyAlignment="1">
      <alignment horizontal="center" vertical="center"/>
    </xf>
    <xf numFmtId="168" fontId="8" fillId="2" borderId="5" xfId="1" applyNumberFormat="1" applyFont="1" applyFill="1" applyBorder="1" applyAlignment="1">
      <alignment horizontal="center" vertical="center"/>
    </xf>
    <xf numFmtId="0" fontId="8" fillId="2" borderId="0" xfId="0" applyFont="1" applyFill="1" applyAlignment="1">
      <alignment vertical="center"/>
    </xf>
    <xf numFmtId="168" fontId="10" fillId="6" borderId="1" xfId="1" applyNumberFormat="1" applyFont="1" applyFill="1" applyBorder="1" applyAlignment="1">
      <alignment horizontal="center" vertical="center"/>
    </xf>
    <xf numFmtId="0" fontId="4" fillId="2" borderId="1" xfId="2" applyFill="1" applyBorder="1" applyAlignment="1">
      <alignment horizontal="center"/>
    </xf>
    <xf numFmtId="0" fontId="5" fillId="2" borderId="0" xfId="0" applyFont="1" applyFill="1" applyAlignment="1">
      <alignment horizontal="center"/>
    </xf>
    <xf numFmtId="0" fontId="3" fillId="2" borderId="0" xfId="0" applyFont="1" applyFill="1" applyAlignment="1">
      <alignment horizontal="center"/>
    </xf>
    <xf numFmtId="0" fontId="6" fillId="2" borderId="0" xfId="2" applyFont="1" applyFill="1" applyAlignment="1">
      <alignment horizontal="center"/>
    </xf>
    <xf numFmtId="0" fontId="11" fillId="2" borderId="0" xfId="0" applyFont="1" applyFill="1" applyAlignment="1">
      <alignment horizontal="center"/>
    </xf>
    <xf numFmtId="0" fontId="0" fillId="2" borderId="1" xfId="0" applyFill="1" applyBorder="1" applyAlignment="1">
      <alignment horizontal="center"/>
    </xf>
    <xf numFmtId="0" fontId="2" fillId="3" borderId="2" xfId="0" applyFont="1" applyFill="1" applyBorder="1" applyAlignment="1">
      <alignment horizontal="center"/>
    </xf>
    <xf numFmtId="0" fontId="9" fillId="7" borderId="1" xfId="0" applyFont="1" applyFill="1" applyBorder="1" applyAlignment="1">
      <alignment horizontal="center" vertical="center"/>
    </xf>
    <xf numFmtId="165" fontId="8" fillId="2" borderId="3" xfId="1" applyNumberFormat="1" applyFont="1" applyFill="1" applyBorder="1" applyAlignment="1">
      <alignment horizontal="center"/>
    </xf>
    <xf numFmtId="165" fontId="8" fillId="2" borderId="4" xfId="1" applyNumberFormat="1" applyFont="1" applyFill="1" applyBorder="1" applyAlignment="1">
      <alignment horizontal="center"/>
    </xf>
    <xf numFmtId="165" fontId="8" fillId="2" borderId="5" xfId="1" applyNumberFormat="1" applyFont="1" applyFill="1" applyBorder="1" applyAlignment="1">
      <alignment horizontal="center"/>
    </xf>
    <xf numFmtId="10" fontId="10" fillId="6" borderId="3" xfId="1" applyNumberFormat="1" applyFont="1" applyFill="1" applyBorder="1" applyAlignment="1">
      <alignment horizontal="center"/>
    </xf>
    <xf numFmtId="10" fontId="10" fillId="6" borderId="4" xfId="1" applyNumberFormat="1" applyFont="1" applyFill="1" applyBorder="1" applyAlignment="1">
      <alignment horizontal="center"/>
    </xf>
    <xf numFmtId="10" fontId="10" fillId="6" borderId="5" xfId="1" applyNumberFormat="1" applyFont="1" applyFill="1" applyBorder="1" applyAlignment="1">
      <alignment horizontal="center"/>
    </xf>
    <xf numFmtId="0" fontId="3" fillId="2" borderId="0" xfId="0" applyFont="1" applyFill="1" applyAlignment="1">
      <alignment horizontal="center" vertical="center"/>
    </xf>
    <xf numFmtId="0" fontId="7" fillId="5" borderId="1" xfId="0" applyFont="1" applyFill="1" applyBorder="1" applyAlignment="1">
      <alignment horizontal="center" vertical="center" wrapText="1"/>
    </xf>
    <xf numFmtId="10" fontId="8" fillId="2" borderId="3" xfId="1" applyNumberFormat="1" applyFont="1" applyFill="1" applyBorder="1" applyAlignment="1">
      <alignment horizontal="center"/>
    </xf>
    <xf numFmtId="10" fontId="8" fillId="2" borderId="4" xfId="1" applyNumberFormat="1" applyFont="1" applyFill="1" applyBorder="1" applyAlignment="1">
      <alignment horizontal="center"/>
    </xf>
    <xf numFmtId="10" fontId="8" fillId="2" borderId="5" xfId="1" applyNumberFormat="1" applyFont="1" applyFill="1" applyBorder="1" applyAlignment="1">
      <alignment horizontal="center"/>
    </xf>
    <xf numFmtId="0" fontId="9" fillId="2" borderId="1" xfId="0" applyFont="1" applyFill="1" applyBorder="1" applyAlignment="1">
      <alignment horizontal="left" vertical="center"/>
    </xf>
    <xf numFmtId="44" fontId="19" fillId="2" borderId="1" xfId="0" applyNumberFormat="1" applyFont="1" applyFill="1" applyBorder="1" applyAlignment="1">
      <alignment horizontal="left" vertical="center"/>
    </xf>
    <xf numFmtId="0" fontId="19" fillId="2" borderId="1" xfId="0" applyFont="1" applyFill="1" applyBorder="1" applyAlignment="1">
      <alignment horizontal="left" vertical="center"/>
    </xf>
    <xf numFmtId="44" fontId="10" fillId="6" borderId="1" xfId="3" applyFont="1" applyFill="1" applyBorder="1" applyAlignment="1">
      <alignment horizontal="right" vertical="center"/>
    </xf>
    <xf numFmtId="0" fontId="7" fillId="5" borderId="1" xfId="0" applyFont="1" applyFill="1" applyBorder="1" applyAlignment="1">
      <alignment horizontal="left" vertical="center"/>
    </xf>
    <xf numFmtId="44" fontId="10" fillId="6" borderId="3" xfId="3" applyFont="1" applyFill="1" applyBorder="1" applyAlignment="1">
      <alignment horizontal="right" vertical="center"/>
    </xf>
    <xf numFmtId="44" fontId="10" fillId="6" borderId="28" xfId="3" applyFont="1" applyFill="1" applyBorder="1" applyAlignment="1">
      <alignment horizontal="right" vertical="center"/>
    </xf>
    <xf numFmtId="0" fontId="20" fillId="2" borderId="1" xfId="0" applyFont="1" applyFill="1" applyBorder="1" applyAlignment="1">
      <alignment horizontal="center" vertical="center"/>
    </xf>
    <xf numFmtId="0" fontId="27" fillId="5" borderId="5" xfId="0" applyFont="1" applyFill="1" applyBorder="1" applyAlignment="1">
      <alignment horizontal="center" vertical="center"/>
    </xf>
    <xf numFmtId="0" fontId="27" fillId="5" borderId="1"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28" xfId="0" applyFont="1" applyFill="1" applyBorder="1" applyAlignment="1">
      <alignment horizontal="center" vertical="center"/>
    </xf>
    <xf numFmtId="0" fontId="27" fillId="5" borderId="3" xfId="0" applyFont="1" applyFill="1" applyBorder="1" applyAlignment="1">
      <alignment horizontal="center" vertical="center"/>
    </xf>
    <xf numFmtId="44" fontId="8" fillId="2" borderId="1" xfId="3" applyFont="1" applyFill="1" applyBorder="1" applyAlignment="1">
      <alignment horizontal="center"/>
    </xf>
    <xf numFmtId="8" fontId="10" fillId="6" borderId="1" xfId="0" applyNumberFormat="1" applyFont="1" applyFill="1" applyBorder="1" applyAlignment="1">
      <alignment horizontal="right" vertical="center"/>
    </xf>
    <xf numFmtId="0" fontId="10" fillId="6" borderId="1" xfId="0" applyFont="1" applyFill="1" applyBorder="1" applyAlignment="1">
      <alignment horizontal="right" vertical="center"/>
    </xf>
    <xf numFmtId="44" fontId="10" fillId="6" borderId="3" xfId="0" applyNumberFormat="1" applyFont="1" applyFill="1" applyBorder="1" applyAlignment="1">
      <alignment horizontal="right" vertical="center"/>
    </xf>
    <xf numFmtId="8" fontId="10" fillId="6" borderId="5" xfId="0" applyNumberFormat="1" applyFont="1" applyFill="1" applyBorder="1" applyAlignment="1">
      <alignment horizontal="right" vertical="center"/>
    </xf>
    <xf numFmtId="10" fontId="10" fillId="6" borderId="1" xfId="1" applyNumberFormat="1" applyFont="1" applyFill="1" applyBorder="1" applyAlignment="1">
      <alignment horizontal="right" vertical="center"/>
    </xf>
    <xf numFmtId="164" fontId="10" fillId="6" borderId="1" xfId="1" applyNumberFormat="1" applyFont="1" applyFill="1" applyBorder="1" applyAlignment="1">
      <alignment horizontal="right" vertical="center"/>
    </xf>
    <xf numFmtId="8" fontId="10" fillId="6" borderId="3" xfId="0" applyNumberFormat="1" applyFont="1" applyFill="1" applyBorder="1" applyAlignment="1">
      <alignment horizontal="right" vertical="center"/>
    </xf>
    <xf numFmtId="0" fontId="8" fillId="2" borderId="1" xfId="0" applyFont="1" applyFill="1" applyBorder="1" applyAlignment="1">
      <alignment horizontal="right" vertical="center"/>
    </xf>
    <xf numFmtId="10" fontId="0" fillId="2" borderId="1" xfId="1" applyNumberFormat="1" applyFont="1" applyFill="1" applyBorder="1" applyAlignment="1">
      <alignment horizontal="right" vertical="center"/>
    </xf>
    <xf numFmtId="0" fontId="21" fillId="2" borderId="0" xfId="0" applyFont="1" applyFill="1" applyAlignment="1">
      <alignment horizontal="center" vertical="center"/>
    </xf>
    <xf numFmtId="0" fontId="20" fillId="2" borderId="0" xfId="0" applyFont="1" applyFill="1" applyAlignment="1">
      <alignment horizontal="center"/>
    </xf>
    <xf numFmtId="44" fontId="8" fillId="2" borderId="1" xfId="3" applyFont="1" applyFill="1" applyBorder="1" applyAlignment="1">
      <alignment horizontal="right" vertical="center"/>
    </xf>
    <xf numFmtId="10" fontId="8" fillId="2" borderId="1" xfId="0" applyNumberFormat="1" applyFont="1" applyFill="1" applyBorder="1" applyAlignment="1">
      <alignment horizontal="right" vertical="center"/>
    </xf>
    <xf numFmtId="170" fontId="8" fillId="2" borderId="1" xfId="0" applyNumberFormat="1" applyFont="1" applyFill="1" applyBorder="1" applyAlignment="1">
      <alignment horizontal="right" vertical="center"/>
    </xf>
    <xf numFmtId="9" fontId="8" fillId="2" borderId="1" xfId="1" applyFont="1" applyFill="1" applyBorder="1" applyAlignment="1">
      <alignment horizontal="right" vertical="center"/>
    </xf>
    <xf numFmtId="10" fontId="8" fillId="2" borderId="1" xfId="1" applyNumberFormat="1" applyFont="1" applyFill="1" applyBorder="1" applyAlignment="1">
      <alignment horizontal="right" vertical="center"/>
    </xf>
    <xf numFmtId="10" fontId="8" fillId="2" borderId="1" xfId="1" applyNumberFormat="1" applyFont="1" applyFill="1" applyBorder="1" applyAlignment="1">
      <alignment horizontal="center"/>
    </xf>
    <xf numFmtId="166" fontId="10" fillId="6" borderId="1" xfId="1" applyNumberFormat="1" applyFont="1" applyFill="1" applyBorder="1" applyAlignment="1">
      <alignment horizontal="center"/>
    </xf>
    <xf numFmtId="0" fontId="9" fillId="2" borderId="1" xfId="0" applyFont="1" applyFill="1" applyBorder="1" applyAlignment="1">
      <alignment horizontal="center"/>
    </xf>
    <xf numFmtId="164" fontId="10" fillId="6" borderId="1" xfId="1" applyNumberFormat="1" applyFont="1" applyFill="1" applyBorder="1" applyAlignment="1">
      <alignment horizontal="center"/>
    </xf>
    <xf numFmtId="0" fontId="9" fillId="2" borderId="1" xfId="0" applyFont="1" applyFill="1" applyBorder="1" applyAlignment="1">
      <alignment horizontal="center" vertical="center"/>
    </xf>
    <xf numFmtId="0" fontId="7" fillId="5" borderId="8" xfId="0" applyFont="1" applyFill="1" applyBorder="1" applyAlignment="1">
      <alignment horizontal="center" vertical="center"/>
    </xf>
    <xf numFmtId="0" fontId="7" fillId="5" borderId="15" xfId="0" applyFont="1" applyFill="1" applyBorder="1" applyAlignment="1">
      <alignment horizontal="center" vertical="center"/>
    </xf>
    <xf numFmtId="0" fontId="7" fillId="5" borderId="4" xfId="0" applyFont="1" applyFill="1" applyBorder="1" applyAlignment="1">
      <alignment horizontal="center" vertical="center"/>
    </xf>
    <xf numFmtId="0" fontId="7" fillId="5" borderId="5" xfId="0" applyFont="1" applyFill="1" applyBorder="1" applyAlignment="1">
      <alignment horizontal="center" vertical="center"/>
    </xf>
    <xf numFmtId="0" fontId="7" fillId="5" borderId="3" xfId="0" applyFont="1" applyFill="1" applyBorder="1" applyAlignment="1">
      <alignment horizontal="center" vertical="center"/>
    </xf>
    <xf numFmtId="0" fontId="9" fillId="2" borderId="3" xfId="0" applyFont="1" applyFill="1" applyBorder="1" applyAlignment="1">
      <alignment horizontal="left" vertical="center"/>
    </xf>
    <xf numFmtId="0" fontId="9" fillId="2" borderId="5" xfId="0" applyFont="1" applyFill="1" applyBorder="1" applyAlignment="1">
      <alignment horizontal="left" vertical="center"/>
    </xf>
    <xf numFmtId="44" fontId="8" fillId="2" borderId="3" xfId="3" applyFont="1" applyFill="1" applyBorder="1" applyAlignment="1">
      <alignment horizontal="right" vertical="center"/>
    </xf>
    <xf numFmtId="44" fontId="8" fillId="2" borderId="5" xfId="3" applyFont="1" applyFill="1" applyBorder="1" applyAlignment="1">
      <alignment horizontal="right" vertical="center"/>
    </xf>
    <xf numFmtId="167" fontId="8" fillId="2" borderId="3" xfId="0" applyNumberFormat="1" applyFont="1" applyFill="1" applyBorder="1" applyAlignment="1">
      <alignment horizontal="right" vertical="center"/>
    </xf>
    <xf numFmtId="167" fontId="8" fillId="2" borderId="5" xfId="0" applyNumberFormat="1" applyFont="1" applyFill="1" applyBorder="1" applyAlignment="1">
      <alignment horizontal="right" vertical="center"/>
    </xf>
    <xf numFmtId="170" fontId="8" fillId="2" borderId="3" xfId="0" applyNumberFormat="1" applyFont="1" applyFill="1" applyBorder="1" applyAlignment="1">
      <alignment horizontal="right" vertical="center"/>
    </xf>
    <xf numFmtId="170" fontId="8" fillId="2" borderId="5" xfId="0" applyNumberFormat="1" applyFont="1" applyFill="1" applyBorder="1" applyAlignment="1">
      <alignment horizontal="right" vertical="center"/>
    </xf>
    <xf numFmtId="10" fontId="8" fillId="2" borderId="3" xfId="1" applyNumberFormat="1" applyFont="1" applyFill="1" applyBorder="1" applyAlignment="1">
      <alignment horizontal="right" vertical="center"/>
    </xf>
    <xf numFmtId="10" fontId="8" fillId="2" borderId="5" xfId="1" applyNumberFormat="1" applyFont="1" applyFill="1" applyBorder="1" applyAlignment="1">
      <alignment horizontal="right" vertical="center"/>
    </xf>
    <xf numFmtId="10" fontId="10" fillId="6" borderId="3" xfId="0" applyNumberFormat="1" applyFont="1" applyFill="1" applyBorder="1" applyAlignment="1">
      <alignment horizontal="right" vertical="center"/>
    </xf>
    <xf numFmtId="10" fontId="10" fillId="6" borderId="5" xfId="0" applyNumberFormat="1" applyFont="1" applyFill="1" applyBorder="1" applyAlignment="1">
      <alignment horizontal="right" vertical="center"/>
    </xf>
    <xf numFmtId="8" fontId="10" fillId="6" borderId="3" xfId="3" applyNumberFormat="1" applyFont="1" applyFill="1" applyBorder="1" applyAlignment="1">
      <alignment horizontal="right" vertical="center"/>
    </xf>
    <xf numFmtId="44" fontId="10" fillId="6" borderId="5" xfId="3" applyFont="1" applyFill="1" applyBorder="1" applyAlignment="1">
      <alignment horizontal="right" vertical="center"/>
    </xf>
    <xf numFmtId="2" fontId="10" fillId="6" borderId="3" xfId="0" applyNumberFormat="1" applyFont="1" applyFill="1" applyBorder="1" applyAlignment="1">
      <alignment horizontal="right" vertical="center"/>
    </xf>
    <xf numFmtId="2" fontId="10" fillId="6" borderId="5" xfId="0" applyNumberFormat="1" applyFont="1" applyFill="1" applyBorder="1" applyAlignment="1">
      <alignment horizontal="right" vertical="center"/>
    </xf>
    <xf numFmtId="0" fontId="7" fillId="5" borderId="1"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4" xfId="0" applyFont="1" applyFill="1" applyBorder="1" applyAlignment="1">
      <alignment horizontal="center" vertical="center"/>
    </xf>
    <xf numFmtId="44" fontId="19" fillId="2" borderId="1" xfId="3" applyFont="1" applyFill="1" applyBorder="1" applyAlignment="1">
      <alignment horizontal="center" vertical="center"/>
    </xf>
    <xf numFmtId="44" fontId="19" fillId="2" borderId="1" xfId="3" applyFont="1" applyFill="1" applyBorder="1" applyAlignment="1">
      <alignment horizontal="center"/>
    </xf>
    <xf numFmtId="44" fontId="10" fillId="6" borderId="3" xfId="0" applyNumberFormat="1" applyFont="1" applyFill="1" applyBorder="1" applyAlignment="1">
      <alignment horizontal="center"/>
    </xf>
    <xf numFmtId="0" fontId="10" fillId="6" borderId="5" xfId="0" applyFont="1" applyFill="1" applyBorder="1" applyAlignment="1">
      <alignment horizontal="center"/>
    </xf>
    <xf numFmtId="0" fontId="10" fillId="2" borderId="1" xfId="0" applyFont="1" applyFill="1" applyBorder="1" applyAlignment="1">
      <alignment horizontal="center" vertical="center"/>
    </xf>
    <xf numFmtId="0" fontId="0" fillId="2" borderId="1" xfId="0" applyFill="1" applyBorder="1" applyAlignment="1">
      <alignment horizontal="left" vertical="center" wrapText="1"/>
    </xf>
    <xf numFmtId="0" fontId="0" fillId="2" borderId="1" xfId="0" applyFill="1" applyBorder="1" applyAlignment="1">
      <alignment horizontal="left" vertical="center"/>
    </xf>
    <xf numFmtId="0" fontId="7" fillId="5" borderId="26" xfId="0" applyFont="1" applyFill="1" applyBorder="1" applyAlignment="1">
      <alignment horizontal="center" vertical="center"/>
    </xf>
    <xf numFmtId="0" fontId="7" fillId="5" borderId="0" xfId="0" applyFont="1" applyFill="1" applyBorder="1" applyAlignment="1">
      <alignment horizontal="center" vertical="center"/>
    </xf>
    <xf numFmtId="0" fontId="0" fillId="2" borderId="1" xfId="0" applyFont="1" applyFill="1" applyBorder="1" applyAlignment="1">
      <alignment horizontal="left" vertical="center" wrapText="1"/>
    </xf>
    <xf numFmtId="0" fontId="0" fillId="2" borderId="1" xfId="0" applyFont="1" applyFill="1" applyBorder="1" applyAlignment="1">
      <alignment horizontal="left" vertical="center"/>
    </xf>
    <xf numFmtId="0" fontId="12" fillId="0" borderId="1" xfId="0" applyFont="1" applyBorder="1" applyAlignment="1">
      <alignment horizontal="center" vertical="center" wrapText="1"/>
    </xf>
    <xf numFmtId="0" fontId="7" fillId="5" borderId="1" xfId="0" applyFont="1" applyFill="1" applyBorder="1" applyAlignment="1">
      <alignment horizontal="center"/>
    </xf>
    <xf numFmtId="0" fontId="12" fillId="0" borderId="1" xfId="0" applyFont="1" applyBorder="1" applyAlignment="1">
      <alignment horizontal="center"/>
    </xf>
    <xf numFmtId="1" fontId="10" fillId="6" borderId="1" xfId="0" applyNumberFormat="1" applyFont="1" applyFill="1" applyBorder="1" applyAlignment="1">
      <alignment horizontal="center"/>
    </xf>
    <xf numFmtId="14" fontId="0" fillId="2" borderId="1" xfId="0" applyNumberFormat="1" applyFill="1" applyBorder="1" applyAlignment="1">
      <alignment horizontal="center"/>
    </xf>
    <xf numFmtId="167" fontId="10" fillId="6" borderId="1" xfId="0" applyNumberFormat="1" applyFont="1" applyFill="1" applyBorder="1" applyAlignment="1">
      <alignment horizontal="center"/>
    </xf>
    <xf numFmtId="0" fontId="10" fillId="6" borderId="1" xfId="0" applyFont="1" applyFill="1" applyBorder="1" applyAlignment="1">
      <alignment horizontal="center"/>
    </xf>
    <xf numFmtId="0" fontId="22" fillId="2" borderId="0" xfId="0" applyFont="1" applyFill="1" applyAlignment="1">
      <alignment horizontal="center" vertical="center"/>
    </xf>
    <xf numFmtId="167" fontId="9" fillId="2" borderId="1" xfId="0" applyNumberFormat="1" applyFont="1" applyFill="1" applyBorder="1" applyAlignment="1">
      <alignment horizontal="center" vertical="center"/>
    </xf>
    <xf numFmtId="167" fontId="9" fillId="2" borderId="1" xfId="0" applyNumberFormat="1" applyFont="1" applyFill="1" applyBorder="1" applyAlignment="1">
      <alignment horizontal="center"/>
    </xf>
    <xf numFmtId="167" fontId="10" fillId="6" borderId="1" xfId="0" applyNumberFormat="1" applyFont="1" applyFill="1" applyBorder="1" applyAlignment="1">
      <alignment horizontal="center" vertical="center"/>
    </xf>
    <xf numFmtId="44" fontId="9" fillId="2" borderId="3" xfId="3" applyFont="1" applyFill="1" applyBorder="1" applyAlignment="1">
      <alignment horizontal="center" vertical="center"/>
    </xf>
    <xf numFmtId="44" fontId="9" fillId="2" borderId="5" xfId="3" applyFont="1" applyFill="1" applyBorder="1" applyAlignment="1">
      <alignment horizontal="center" vertical="center"/>
    </xf>
    <xf numFmtId="0" fontId="8" fillId="2" borderId="1" xfId="0" applyFont="1" applyFill="1" applyBorder="1" applyAlignment="1">
      <alignment horizontal="center" vertical="center"/>
    </xf>
    <xf numFmtId="167" fontId="9" fillId="2" borderId="1" xfId="0" applyNumberFormat="1" applyFont="1" applyFill="1" applyBorder="1" applyAlignment="1">
      <alignment horizontal="right" vertical="center"/>
    </xf>
    <xf numFmtId="0" fontId="19" fillId="2" borderId="1" xfId="0" applyFont="1" applyFill="1" applyBorder="1" applyAlignment="1">
      <alignment horizontal="center" vertical="center"/>
    </xf>
    <xf numFmtId="0" fontId="8" fillId="2" borderId="0" xfId="0" applyFont="1" applyFill="1" applyAlignment="1">
      <alignment horizontal="center" vertical="center"/>
    </xf>
    <xf numFmtId="0" fontId="19" fillId="2" borderId="3" xfId="0" applyFont="1" applyFill="1" applyBorder="1" applyAlignment="1">
      <alignment horizontal="center" vertical="center"/>
    </xf>
    <xf numFmtId="0" fontId="19" fillId="2" borderId="5" xfId="0" applyFont="1" applyFill="1" applyBorder="1" applyAlignment="1">
      <alignment horizontal="center" vertical="center"/>
    </xf>
    <xf numFmtId="0" fontId="8" fillId="2" borderId="1" xfId="0" applyFont="1" applyFill="1" applyBorder="1" applyAlignment="1">
      <alignment horizontal="center"/>
    </xf>
    <xf numFmtId="0" fontId="8" fillId="2" borderId="3" xfId="0" applyFont="1" applyFill="1" applyBorder="1" applyAlignment="1">
      <alignment horizontal="center"/>
    </xf>
    <xf numFmtId="0" fontId="8" fillId="2" borderId="4" xfId="0" applyFont="1" applyFill="1" applyBorder="1" applyAlignment="1">
      <alignment horizontal="center"/>
    </xf>
    <xf numFmtId="0" fontId="8" fillId="2" borderId="5" xfId="0" applyFont="1" applyFill="1" applyBorder="1" applyAlignment="1">
      <alignment horizontal="center"/>
    </xf>
    <xf numFmtId="0" fontId="14" fillId="5" borderId="3"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5" xfId="0" applyFont="1" applyFill="1" applyBorder="1" applyAlignment="1">
      <alignment horizontal="center" vertical="center"/>
    </xf>
    <xf numFmtId="0" fontId="16" fillId="6" borderId="1" xfId="0" applyFont="1" applyFill="1" applyBorder="1" applyAlignment="1">
      <alignment horizontal="left"/>
    </xf>
    <xf numFmtId="0" fontId="16" fillId="6" borderId="3" xfId="0" applyFont="1" applyFill="1" applyBorder="1" applyAlignment="1">
      <alignment horizontal="left"/>
    </xf>
    <xf numFmtId="0" fontId="9" fillId="2" borderId="1" xfId="0" applyFont="1" applyFill="1" applyBorder="1" applyAlignment="1">
      <alignment horizontal="left"/>
    </xf>
    <xf numFmtId="167" fontId="17" fillId="6" borderId="5" xfId="0" applyNumberFormat="1" applyFont="1" applyFill="1" applyBorder="1" applyAlignment="1">
      <alignment horizontal="right"/>
    </xf>
    <xf numFmtId="167" fontId="17" fillId="6" borderId="1" xfId="0" applyNumberFormat="1" applyFont="1" applyFill="1" applyBorder="1" applyAlignment="1">
      <alignment horizontal="right"/>
    </xf>
    <xf numFmtId="9" fontId="8" fillId="2" borderId="1" xfId="1" applyFont="1" applyFill="1" applyBorder="1" applyAlignment="1">
      <alignment horizontal="right"/>
    </xf>
    <xf numFmtId="44" fontId="8" fillId="2" borderId="1" xfId="3" applyFont="1" applyFill="1" applyBorder="1" applyAlignment="1">
      <alignment horizontal="right"/>
    </xf>
    <xf numFmtId="0" fontId="18" fillId="6" borderId="1" xfId="0" applyFont="1" applyFill="1" applyBorder="1" applyAlignment="1">
      <alignment horizontal="left" vertical="center"/>
    </xf>
    <xf numFmtId="0" fontId="18" fillId="6" borderId="3" xfId="0" applyFont="1" applyFill="1" applyBorder="1" applyAlignment="1">
      <alignment horizontal="left" vertical="center"/>
    </xf>
    <xf numFmtId="10" fontId="10" fillId="6" borderId="5" xfId="1" applyNumberFormat="1" applyFont="1" applyFill="1" applyBorder="1" applyAlignment="1">
      <alignment horizontal="right"/>
    </xf>
    <xf numFmtId="10" fontId="10" fillId="6" borderId="1" xfId="1" applyNumberFormat="1" applyFont="1" applyFill="1" applyBorder="1" applyAlignment="1">
      <alignment horizontal="right"/>
    </xf>
    <xf numFmtId="10" fontId="8" fillId="2" borderId="1" xfId="1" applyNumberFormat="1" applyFont="1" applyFill="1" applyBorder="1" applyAlignment="1">
      <alignment horizontal="right"/>
    </xf>
    <xf numFmtId="44" fontId="10" fillId="6" borderId="5" xfId="3" applyFont="1" applyFill="1" applyBorder="1" applyAlignment="1">
      <alignment horizontal="right"/>
    </xf>
    <xf numFmtId="44" fontId="10" fillId="6" borderId="1" xfId="3" applyFont="1" applyFill="1" applyBorder="1" applyAlignment="1">
      <alignment horizontal="right"/>
    </xf>
    <xf numFmtId="0" fontId="8" fillId="6" borderId="5" xfId="0" applyFont="1" applyFill="1" applyBorder="1" applyAlignment="1">
      <alignment horizontal="center" vertical="center"/>
    </xf>
    <xf numFmtId="0" fontId="8" fillId="6" borderId="1" xfId="0" applyFont="1" applyFill="1" applyBorder="1" applyAlignment="1">
      <alignment horizontal="center" vertical="center"/>
    </xf>
    <xf numFmtId="0" fontId="9" fillId="6" borderId="1" xfId="0" applyFont="1" applyFill="1" applyBorder="1" applyAlignment="1">
      <alignment horizontal="left" vertical="center"/>
    </xf>
    <xf numFmtId="0" fontId="9" fillId="6" borderId="3" xfId="0" applyFont="1" applyFill="1" applyBorder="1" applyAlignment="1">
      <alignment horizontal="left" vertical="center"/>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2" fontId="10" fillId="6" borderId="3" xfId="0" applyNumberFormat="1" applyFont="1" applyFill="1" applyBorder="1" applyAlignment="1">
      <alignment horizontal="center" vertical="center"/>
    </xf>
    <xf numFmtId="2" fontId="10" fillId="6" borderId="4" xfId="0" applyNumberFormat="1" applyFont="1" applyFill="1" applyBorder="1" applyAlignment="1">
      <alignment horizontal="center" vertical="center"/>
    </xf>
    <xf numFmtId="2" fontId="10" fillId="6" borderId="5" xfId="0" applyNumberFormat="1" applyFont="1" applyFill="1" applyBorder="1" applyAlignment="1">
      <alignment horizontal="center" vertical="center"/>
    </xf>
    <xf numFmtId="169" fontId="10" fillId="6" borderId="3" xfId="0" applyNumberFormat="1" applyFont="1" applyFill="1" applyBorder="1" applyAlignment="1">
      <alignment horizontal="center" vertical="center"/>
    </xf>
    <xf numFmtId="169" fontId="10" fillId="6" borderId="4" xfId="0" applyNumberFormat="1" applyFont="1" applyFill="1" applyBorder="1" applyAlignment="1">
      <alignment horizontal="center" vertical="center"/>
    </xf>
    <xf numFmtId="169" fontId="10" fillId="6" borderId="5" xfId="0" applyNumberFormat="1" applyFont="1" applyFill="1" applyBorder="1" applyAlignment="1">
      <alignment horizontal="center" vertical="center"/>
    </xf>
    <xf numFmtId="10" fontId="10" fillId="6" borderId="3" xfId="1" applyNumberFormat="1" applyFont="1" applyFill="1" applyBorder="1" applyAlignment="1">
      <alignment horizontal="center" vertical="center"/>
    </xf>
    <xf numFmtId="10" fontId="10" fillId="6" borderId="4" xfId="1" applyNumberFormat="1" applyFont="1" applyFill="1" applyBorder="1" applyAlignment="1">
      <alignment horizontal="center" vertical="center"/>
    </xf>
    <xf numFmtId="10" fontId="10" fillId="6" borderId="5" xfId="1" applyNumberFormat="1" applyFont="1" applyFill="1" applyBorder="1" applyAlignment="1">
      <alignment horizontal="center" vertical="center"/>
    </xf>
    <xf numFmtId="0" fontId="10" fillId="6" borderId="1" xfId="0" applyFont="1" applyFill="1" applyBorder="1" applyAlignment="1">
      <alignment horizontal="center" vertical="center"/>
    </xf>
    <xf numFmtId="10" fontId="10" fillId="6" borderId="1" xfId="1" applyNumberFormat="1" applyFont="1" applyFill="1" applyBorder="1" applyAlignment="1">
      <alignment horizontal="center" vertical="center"/>
    </xf>
    <xf numFmtId="9" fontId="9" fillId="2" borderId="1" xfId="1" applyFont="1" applyFill="1" applyBorder="1" applyAlignment="1">
      <alignment horizontal="center" vertical="center"/>
    </xf>
    <xf numFmtId="9" fontId="9" fillId="2" borderId="1" xfId="0" applyNumberFormat="1" applyFont="1" applyFill="1" applyBorder="1" applyAlignment="1">
      <alignment horizontal="center" vertical="center"/>
    </xf>
    <xf numFmtId="0" fontId="17" fillId="6" borderId="1" xfId="0" applyFont="1" applyFill="1" applyBorder="1" applyAlignment="1">
      <alignment horizontal="right"/>
    </xf>
    <xf numFmtId="167" fontId="8" fillId="2" borderId="1" xfId="0" applyNumberFormat="1" applyFont="1" applyFill="1" applyBorder="1" applyAlignment="1">
      <alignment horizontal="center"/>
    </xf>
    <xf numFmtId="0" fontId="19" fillId="2" borderId="2" xfId="0" applyFont="1" applyFill="1" applyBorder="1" applyAlignment="1">
      <alignment horizontal="center" vertical="center"/>
    </xf>
    <xf numFmtId="0" fontId="20" fillId="2" borderId="0" xfId="0" applyFont="1" applyFill="1" applyAlignment="1">
      <alignment horizontal="center" vertical="center"/>
    </xf>
    <xf numFmtId="0" fontId="26" fillId="2" borderId="0" xfId="0" applyFont="1" applyFill="1" applyAlignment="1">
      <alignment horizontal="center" vertical="center"/>
    </xf>
    <xf numFmtId="14" fontId="8" fillId="2" borderId="1" xfId="0" applyNumberFormat="1" applyFont="1" applyFill="1" applyBorder="1" applyAlignment="1">
      <alignment horizontal="right" vertical="center"/>
    </xf>
    <xf numFmtId="0" fontId="10" fillId="6" borderId="1" xfId="0" applyNumberFormat="1" applyFont="1" applyFill="1" applyBorder="1" applyAlignment="1">
      <alignment horizontal="right" vertical="center"/>
    </xf>
    <xf numFmtId="44" fontId="10" fillId="6" borderId="1" xfId="3" applyFont="1" applyFill="1" applyBorder="1" applyAlignment="1">
      <alignment horizontal="left" vertical="center"/>
    </xf>
    <xf numFmtId="171" fontId="8" fillId="2" borderId="1" xfId="1" applyNumberFormat="1" applyFont="1" applyFill="1" applyBorder="1" applyAlignment="1">
      <alignment horizontal="right"/>
    </xf>
    <xf numFmtId="0" fontId="25" fillId="2" borderId="0" xfId="0" applyFont="1" applyFill="1" applyAlignment="1">
      <alignment horizontal="center" vertical="center"/>
    </xf>
    <xf numFmtId="0" fontId="8" fillId="2" borderId="1" xfId="0" applyFont="1" applyFill="1" applyBorder="1" applyAlignment="1">
      <alignment horizontal="right"/>
    </xf>
    <xf numFmtId="0" fontId="12" fillId="2" borderId="19" xfId="0" applyFont="1" applyFill="1" applyBorder="1" applyAlignment="1">
      <alignment horizontal="center" vertical="center"/>
    </xf>
    <xf numFmtId="0" fontId="12" fillId="2" borderId="18" xfId="0" applyFont="1" applyFill="1" applyBorder="1" applyAlignment="1">
      <alignment horizontal="center" vertical="center"/>
    </xf>
    <xf numFmtId="0" fontId="12" fillId="2" borderId="16" xfId="0" applyFont="1" applyFill="1" applyBorder="1" applyAlignment="1">
      <alignment horizontal="center" vertical="center"/>
    </xf>
    <xf numFmtId="0" fontId="15" fillId="2" borderId="19" xfId="0" applyFont="1" applyFill="1" applyBorder="1" applyAlignment="1">
      <alignment horizontal="center" vertical="center"/>
    </xf>
    <xf numFmtId="0" fontId="15" fillId="2" borderId="18" xfId="0" applyFont="1" applyFill="1" applyBorder="1" applyAlignment="1">
      <alignment horizontal="center" vertical="center"/>
    </xf>
    <xf numFmtId="0" fontId="15" fillId="2" borderId="16" xfId="0" applyFont="1" applyFill="1" applyBorder="1" applyAlignment="1">
      <alignment horizontal="center" vertical="center"/>
    </xf>
    <xf numFmtId="0" fontId="23" fillId="2" borderId="19" xfId="0" applyFont="1" applyFill="1" applyBorder="1" applyAlignment="1">
      <alignment vertical="center"/>
    </xf>
    <xf numFmtId="0" fontId="23" fillId="2" borderId="16" xfId="0" applyFont="1" applyFill="1" applyBorder="1" applyAlignment="1">
      <alignment vertical="center"/>
    </xf>
    <xf numFmtId="0" fontId="23" fillId="2" borderId="18" xfId="0" applyFont="1" applyFill="1" applyBorder="1" applyAlignment="1">
      <alignment vertical="center"/>
    </xf>
    <xf numFmtId="0" fontId="7" fillId="5" borderId="25" xfId="0" applyFont="1" applyFill="1" applyBorder="1" applyAlignment="1">
      <alignment horizontal="center" vertical="center"/>
    </xf>
    <xf numFmtId="0" fontId="7" fillId="5" borderId="24" xfId="0" applyFont="1" applyFill="1" applyBorder="1" applyAlignment="1">
      <alignment horizontal="center" vertical="center"/>
    </xf>
    <xf numFmtId="0" fontId="7" fillId="5" borderId="23" xfId="0" applyFont="1" applyFill="1" applyBorder="1" applyAlignment="1">
      <alignment horizontal="center" vertical="center"/>
    </xf>
    <xf numFmtId="0" fontId="7" fillId="5" borderId="22" xfId="0" applyFont="1" applyFill="1" applyBorder="1" applyAlignment="1">
      <alignment horizontal="center" vertical="center"/>
    </xf>
    <xf numFmtId="0" fontId="7" fillId="5" borderId="21" xfId="0" applyFont="1" applyFill="1" applyBorder="1" applyAlignment="1">
      <alignment horizontal="center" vertical="center"/>
    </xf>
    <xf numFmtId="0" fontId="7" fillId="5" borderId="20" xfId="0" applyFont="1" applyFill="1" applyBorder="1" applyAlignment="1">
      <alignment horizontal="center" vertical="center"/>
    </xf>
    <xf numFmtId="44" fontId="8" fillId="2" borderId="1" xfId="3" applyFont="1" applyFill="1" applyBorder="1" applyAlignment="1">
      <alignment horizontal="center" vertical="center"/>
    </xf>
    <xf numFmtId="44" fontId="10" fillId="6" borderId="1" xfId="3" applyFont="1" applyFill="1" applyBorder="1" applyAlignment="1">
      <alignment horizontal="center" vertical="center"/>
    </xf>
    <xf numFmtId="0" fontId="20" fillId="2" borderId="2" xfId="0" applyFont="1" applyFill="1" applyBorder="1" applyAlignment="1">
      <alignment horizontal="center" vertical="center"/>
    </xf>
    <xf numFmtId="2" fontId="8" fillId="2" borderId="3" xfId="0" applyNumberFormat="1" applyFont="1" applyFill="1" applyBorder="1" applyAlignment="1">
      <alignment horizontal="center"/>
    </xf>
    <xf numFmtId="2" fontId="8" fillId="2" borderId="5" xfId="0" applyNumberFormat="1" applyFont="1" applyFill="1" applyBorder="1" applyAlignment="1">
      <alignment horizontal="center"/>
    </xf>
    <xf numFmtId="2" fontId="10" fillId="6" borderId="3" xfId="0" applyNumberFormat="1" applyFont="1" applyFill="1" applyBorder="1" applyAlignment="1">
      <alignment horizontal="center"/>
    </xf>
    <xf numFmtId="2" fontId="10" fillId="6" borderId="5" xfId="0" applyNumberFormat="1" applyFont="1" applyFill="1" applyBorder="1" applyAlignment="1">
      <alignment horizontal="center"/>
    </xf>
    <xf numFmtId="0" fontId="2" fillId="5"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10" fontId="8" fillId="2" borderId="1" xfId="0" applyNumberFormat="1" applyFont="1" applyFill="1" applyBorder="1" applyAlignment="1">
      <alignment horizontal="center" vertical="center"/>
    </xf>
    <xf numFmtId="9" fontId="8" fillId="2" borderId="1" xfId="0" applyNumberFormat="1" applyFont="1" applyFill="1" applyBorder="1" applyAlignment="1">
      <alignment horizontal="center" vertical="center"/>
    </xf>
    <xf numFmtId="9" fontId="8" fillId="2" borderId="1" xfId="0" applyNumberFormat="1" applyFont="1" applyFill="1" applyBorder="1" applyAlignment="1">
      <alignment horizontal="right" vertical="center"/>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8" fillId="2" borderId="1" xfId="0" applyFont="1" applyFill="1" applyBorder="1" applyAlignment="1">
      <alignment horizontal="left" vertical="center"/>
    </xf>
    <xf numFmtId="168" fontId="8" fillId="2" borderId="1" xfId="0" applyNumberFormat="1" applyFont="1" applyFill="1" applyBorder="1" applyAlignment="1">
      <alignment horizontal="right" vertical="center"/>
    </xf>
    <xf numFmtId="0" fontId="2" fillId="5" borderId="1" xfId="0" applyFont="1" applyFill="1" applyBorder="1" applyAlignment="1">
      <alignment horizontal="center" vertical="center"/>
    </xf>
    <xf numFmtId="44" fontId="0" fillId="2" borderId="1" xfId="3" applyFont="1" applyFill="1" applyBorder="1" applyAlignment="1">
      <alignment horizontal="right" vertical="center"/>
    </xf>
    <xf numFmtId="0" fontId="21" fillId="6" borderId="1" xfId="0" applyFont="1" applyFill="1" applyBorder="1" applyAlignment="1">
      <alignment horizontal="right" vertical="center"/>
    </xf>
    <xf numFmtId="0" fontId="24" fillId="2" borderId="7" xfId="0" applyFont="1" applyFill="1" applyBorder="1" applyAlignment="1">
      <alignment horizontal="left" vertical="center"/>
    </xf>
    <xf numFmtId="0" fontId="24" fillId="2" borderId="1" xfId="0" applyFont="1" applyFill="1" applyBorder="1" applyAlignment="1">
      <alignment horizontal="left" vertical="center"/>
    </xf>
    <xf numFmtId="44" fontId="21" fillId="6" borderId="1" xfId="0" applyNumberFormat="1" applyFont="1" applyFill="1" applyBorder="1" applyAlignment="1">
      <alignment horizontal="right" vertical="center"/>
    </xf>
    <xf numFmtId="10" fontId="21" fillId="6" borderId="1" xfId="0" applyNumberFormat="1" applyFont="1" applyFill="1" applyBorder="1" applyAlignment="1">
      <alignment horizontal="right" vertical="center"/>
    </xf>
    <xf numFmtId="0" fontId="22" fillId="2" borderId="1" xfId="0" applyFont="1" applyFill="1" applyBorder="1" applyAlignment="1">
      <alignment horizontal="center" vertical="center"/>
    </xf>
    <xf numFmtId="44" fontId="0" fillId="2" borderId="1" xfId="0" applyNumberFormat="1" applyFill="1" applyBorder="1" applyAlignment="1">
      <alignment horizontal="center"/>
    </xf>
    <xf numFmtId="44" fontId="0" fillId="2" borderId="1" xfId="0" applyNumberFormat="1" applyFill="1" applyBorder="1" applyAlignment="1">
      <alignment horizontal="center" vertical="center"/>
    </xf>
    <xf numFmtId="0" fontId="0" fillId="2" borderId="1" xfId="0" applyFill="1" applyBorder="1" applyAlignment="1">
      <alignment horizontal="center" vertical="center"/>
    </xf>
    <xf numFmtId="0" fontId="22" fillId="10" borderId="1" xfId="0" applyFont="1" applyFill="1" applyBorder="1" applyAlignment="1">
      <alignment horizontal="center" vertical="center"/>
    </xf>
    <xf numFmtId="0" fontId="0" fillId="10" borderId="1" xfId="0" applyFill="1" applyBorder="1" applyAlignment="1">
      <alignment horizontal="center" vertical="center"/>
    </xf>
    <xf numFmtId="44" fontId="0" fillId="2" borderId="1" xfId="3" applyFont="1" applyFill="1" applyBorder="1" applyAlignment="1">
      <alignment horizontal="center" vertical="center"/>
    </xf>
    <xf numFmtId="44" fontId="0" fillId="10" borderId="1" xfId="3" applyFont="1" applyFill="1" applyBorder="1" applyAlignment="1">
      <alignment horizontal="center" vertical="center"/>
    </xf>
    <xf numFmtId="44" fontId="0" fillId="10" borderId="1" xfId="0" applyNumberFormat="1" applyFill="1" applyBorder="1" applyAlignment="1">
      <alignment horizontal="center" vertical="center"/>
    </xf>
    <xf numFmtId="0" fontId="11" fillId="2" borderId="1" xfId="0" applyFont="1" applyFill="1" applyBorder="1" applyAlignment="1">
      <alignment horizontal="center" vertical="center"/>
    </xf>
    <xf numFmtId="0" fontId="10" fillId="2" borderId="0" xfId="0" applyFont="1" applyFill="1" applyBorder="1" applyAlignment="1">
      <alignment horizontal="center" vertical="center"/>
    </xf>
    <xf numFmtId="0" fontId="8" fillId="2" borderId="3" xfId="0" applyFont="1" applyFill="1" applyBorder="1" applyAlignment="1">
      <alignment horizontal="right" vertical="center"/>
    </xf>
    <xf numFmtId="0" fontId="8" fillId="2" borderId="4" xfId="0" applyFont="1" applyFill="1" applyBorder="1" applyAlignment="1">
      <alignment horizontal="right" vertical="center"/>
    </xf>
    <xf numFmtId="0" fontId="8" fillId="2" borderId="5" xfId="0" applyFont="1" applyFill="1" applyBorder="1" applyAlignment="1">
      <alignment horizontal="right" vertical="center"/>
    </xf>
    <xf numFmtId="10" fontId="0" fillId="2" borderId="1" xfId="1" applyNumberFormat="1" applyFont="1" applyFill="1" applyBorder="1" applyAlignment="1">
      <alignment horizontal="center" vertical="center"/>
    </xf>
    <xf numFmtId="10" fontId="0" fillId="2" borderId="3" xfId="1" applyNumberFormat="1" applyFont="1" applyFill="1" applyBorder="1" applyAlignment="1">
      <alignment horizontal="right" vertical="center"/>
    </xf>
    <xf numFmtId="10" fontId="0" fillId="2" borderId="4" xfId="1" applyNumberFormat="1" applyFont="1" applyFill="1" applyBorder="1" applyAlignment="1">
      <alignment horizontal="right" vertical="center"/>
    </xf>
    <xf numFmtId="10" fontId="0" fillId="2" borderId="5" xfId="1" applyNumberFormat="1" applyFont="1" applyFill="1" applyBorder="1" applyAlignment="1">
      <alignment horizontal="right" vertical="center"/>
    </xf>
    <xf numFmtId="10" fontId="10" fillId="6" borderId="1" xfId="0" applyNumberFormat="1" applyFont="1" applyFill="1" applyBorder="1" applyAlignment="1">
      <alignment horizontal="right" vertical="center"/>
    </xf>
    <xf numFmtId="0" fontId="29" fillId="2" borderId="1" xfId="0" applyFont="1" applyFill="1" applyBorder="1" applyAlignment="1">
      <alignment horizontal="left" vertical="center" wrapText="1"/>
    </xf>
    <xf numFmtId="10" fontId="0" fillId="2" borderId="1" xfId="1" applyNumberFormat="1" applyFont="1" applyFill="1" applyBorder="1" applyAlignment="1">
      <alignment horizontal="center"/>
    </xf>
    <xf numFmtId="171" fontId="0" fillId="2" borderId="1" xfId="1" applyNumberFormat="1" applyFont="1" applyFill="1" applyBorder="1" applyAlignment="1">
      <alignment horizontal="center"/>
    </xf>
    <xf numFmtId="0" fontId="2" fillId="5" borderId="5" xfId="0" applyFont="1" applyFill="1" applyBorder="1" applyAlignment="1">
      <alignment horizontal="center" vertical="center"/>
    </xf>
    <xf numFmtId="0" fontId="0" fillId="2" borderId="5" xfId="0" applyFill="1" applyBorder="1" applyAlignment="1">
      <alignment horizontal="center"/>
    </xf>
    <xf numFmtId="10" fontId="0" fillId="2" borderId="5" xfId="1" applyNumberFormat="1" applyFont="1" applyFill="1" applyBorder="1" applyAlignment="1">
      <alignment horizontal="center"/>
    </xf>
    <xf numFmtId="171" fontId="0" fillId="2" borderId="5" xfId="1" applyNumberFormat="1" applyFont="1" applyFill="1" applyBorder="1" applyAlignment="1">
      <alignment horizontal="center"/>
    </xf>
    <xf numFmtId="0" fontId="30" fillId="2" borderId="1" xfId="0" applyFont="1" applyFill="1" applyBorder="1" applyAlignment="1">
      <alignment horizontal="center" vertical="center" textRotation="90" wrapText="1"/>
    </xf>
    <xf numFmtId="0" fontId="2" fillId="5" borderId="1" xfId="0" applyFont="1" applyFill="1" applyBorder="1" applyAlignment="1">
      <alignment horizontal="left" vertical="center"/>
    </xf>
    <xf numFmtId="44" fontId="0" fillId="2" borderId="1" xfId="3" applyFont="1" applyFill="1" applyBorder="1" applyAlignment="1">
      <alignment horizontal="center"/>
    </xf>
    <xf numFmtId="0" fontId="10" fillId="4" borderId="1" xfId="0" applyFont="1" applyFill="1" applyBorder="1" applyAlignment="1">
      <alignment horizontal="center" vertical="center"/>
    </xf>
    <xf numFmtId="173" fontId="21" fillId="6" borderId="1" xfId="0" applyNumberFormat="1" applyFont="1" applyFill="1" applyBorder="1" applyAlignment="1">
      <alignment horizontal="center" vertical="center"/>
    </xf>
    <xf numFmtId="164" fontId="21" fillId="6" borderId="1" xfId="1" applyNumberFormat="1" applyFont="1" applyFill="1" applyBorder="1" applyAlignment="1">
      <alignment horizontal="center" vertical="center"/>
    </xf>
    <xf numFmtId="0" fontId="2" fillId="5" borderId="1" xfId="0" applyFont="1" applyFill="1" applyBorder="1" applyAlignment="1">
      <alignment horizontal="center" vertical="center"/>
    </xf>
    <xf numFmtId="10" fontId="21" fillId="6" borderId="1" xfId="1" applyNumberFormat="1" applyFont="1" applyFill="1" applyBorder="1" applyAlignment="1">
      <alignment horizontal="right" vertical="center"/>
    </xf>
    <xf numFmtId="164" fontId="21" fillId="6" borderId="1" xfId="1" applyNumberFormat="1" applyFont="1" applyFill="1" applyBorder="1" applyAlignment="1">
      <alignment horizontal="right" vertical="center"/>
    </xf>
    <xf numFmtId="175" fontId="21" fillId="6" borderId="1" xfId="0" applyNumberFormat="1" applyFont="1" applyFill="1" applyBorder="1" applyAlignment="1">
      <alignment horizontal="right" vertical="center"/>
    </xf>
    <xf numFmtId="176" fontId="21" fillId="6" borderId="1" xfId="0" applyNumberFormat="1" applyFont="1" applyFill="1" applyBorder="1" applyAlignment="1">
      <alignment horizontal="center" vertical="center"/>
    </xf>
    <xf numFmtId="0" fontId="31" fillId="2" borderId="1" xfId="0" applyFont="1" applyFill="1" applyBorder="1" applyAlignment="1">
      <alignment horizontal="left" vertical="center"/>
    </xf>
    <xf numFmtId="0" fontId="31" fillId="2" borderId="7" xfId="0" applyFont="1" applyFill="1" applyBorder="1" applyAlignment="1">
      <alignment horizontal="left" vertical="center"/>
    </xf>
    <xf numFmtId="171" fontId="0" fillId="2" borderId="1" xfId="1" applyNumberFormat="1" applyFont="1" applyFill="1" applyBorder="1" applyAlignment="1">
      <alignment horizontal="right" vertical="center"/>
    </xf>
    <xf numFmtId="179" fontId="0" fillId="2" borderId="1" xfId="0" applyNumberFormat="1" applyFill="1" applyBorder="1" applyAlignment="1">
      <alignment horizontal="center"/>
    </xf>
    <xf numFmtId="179" fontId="0" fillId="10" borderId="1" xfId="0" applyNumberFormat="1" applyFill="1" applyBorder="1" applyAlignment="1">
      <alignment horizontal="center"/>
    </xf>
    <xf numFmtId="44" fontId="0" fillId="10" borderId="1" xfId="3" applyFont="1" applyFill="1" applyBorder="1" applyAlignment="1">
      <alignment horizontal="right" vertical="center"/>
    </xf>
    <xf numFmtId="0" fontId="20" fillId="2" borderId="3" xfId="0" applyFont="1" applyFill="1" applyBorder="1" applyAlignment="1">
      <alignment horizontal="center" vertical="center"/>
    </xf>
    <xf numFmtId="0" fontId="20" fillId="2" borderId="4" xfId="0" applyFont="1" applyFill="1" applyBorder="1" applyAlignment="1">
      <alignment horizontal="center" vertical="center"/>
    </xf>
    <xf numFmtId="0" fontId="20" fillId="2" borderId="5" xfId="0" applyFont="1" applyFill="1" applyBorder="1" applyAlignment="1">
      <alignment horizontal="center" vertical="center"/>
    </xf>
    <xf numFmtId="44" fontId="0" fillId="2" borderId="1" xfId="3" applyNumberFormat="1" applyFont="1" applyFill="1" applyBorder="1" applyAlignment="1">
      <alignment horizontal="center"/>
    </xf>
    <xf numFmtId="44" fontId="0" fillId="2" borderId="0" xfId="3" applyFont="1" applyFill="1"/>
    <xf numFmtId="2" fontId="0" fillId="2" borderId="1" xfId="0" applyNumberFormat="1" applyFill="1" applyBorder="1" applyAlignment="1">
      <alignment horizontal="right"/>
    </xf>
    <xf numFmtId="44" fontId="0" fillId="2" borderId="1" xfId="3" applyFont="1" applyFill="1" applyBorder="1" applyAlignment="1">
      <alignment horizontal="right"/>
    </xf>
    <xf numFmtId="171" fontId="21" fillId="6" borderId="1" xfId="1" applyNumberFormat="1" applyFont="1" applyFill="1" applyBorder="1" applyAlignment="1">
      <alignment horizontal="right" vertical="center"/>
    </xf>
    <xf numFmtId="44" fontId="21" fillId="6" borderId="1" xfId="3" applyFont="1" applyFill="1" applyBorder="1" applyAlignment="1">
      <alignment horizontal="right" vertical="center"/>
    </xf>
    <xf numFmtId="0" fontId="28" fillId="2" borderId="29" xfId="0" applyFont="1" applyFill="1" applyBorder="1" applyAlignment="1">
      <alignment horizontal="right" vertical="center" textRotation="180"/>
    </xf>
    <xf numFmtId="179" fontId="21" fillId="6" borderId="1" xfId="0" applyNumberFormat="1" applyFont="1" applyFill="1" applyBorder="1" applyAlignment="1">
      <alignment horizontal="right" vertical="center"/>
    </xf>
    <xf numFmtId="167" fontId="8" fillId="2" borderId="1" xfId="3" applyNumberFormat="1" applyFont="1" applyFill="1" applyBorder="1" applyAlignment="1">
      <alignment horizontal="right"/>
    </xf>
  </cellXfs>
  <cellStyles count="4">
    <cellStyle name="Hiperlink" xfId="2" builtinId="8"/>
    <cellStyle name="Moeda" xfId="3" builtinId="4"/>
    <cellStyle name="Normal" xfId="0" builtinId="0"/>
    <cellStyle name="Porcentagem" xfId="1" builtinId="5"/>
  </cellStyles>
  <dxfs count="8">
    <dxf>
      <font>
        <b/>
        <i val="0"/>
        <color rgb="FFFF0000"/>
      </font>
      <fill>
        <patternFill>
          <bgColor rgb="FFF5C2B9"/>
        </patternFill>
      </fill>
    </dxf>
    <dxf>
      <font>
        <b/>
        <i val="0"/>
        <color rgb="FF00B050"/>
      </font>
      <fill>
        <patternFill>
          <bgColor rgb="FFC7E6A4"/>
        </patternFill>
      </fill>
    </dxf>
    <dxf>
      <font>
        <b/>
        <i val="0"/>
        <color rgb="FFC00000"/>
      </font>
    </dxf>
    <dxf>
      <font>
        <b/>
        <i val="0"/>
        <color rgb="FF00B050"/>
      </font>
    </dxf>
    <dxf>
      <font>
        <b/>
        <i val="0"/>
        <color rgb="FFFF0000"/>
      </font>
      <fill>
        <patternFill>
          <bgColor rgb="FFF5C2B9"/>
        </patternFill>
      </fill>
    </dxf>
    <dxf>
      <font>
        <b/>
        <i val="0"/>
        <color rgb="FF00B050"/>
      </font>
      <fill>
        <patternFill>
          <bgColor rgb="FFC7E6A4"/>
        </patternFill>
      </fill>
    </dxf>
    <dxf>
      <font>
        <b/>
        <i val="0"/>
        <color rgb="FFFF0000"/>
      </font>
      <fill>
        <patternFill>
          <bgColor rgb="FFF5C2B9"/>
        </patternFill>
      </fill>
    </dxf>
    <dxf>
      <font>
        <b/>
        <i val="0"/>
        <color rgb="FF00B050"/>
      </font>
      <fill>
        <patternFill>
          <bgColor rgb="FFC7E6A4"/>
        </patternFill>
      </fill>
    </dxf>
  </dxfs>
  <tableStyles count="0" defaultTableStyle="TableStyleMedium2" defaultPivotStyle="PivotStyleLight16"/>
  <colors>
    <mruColors>
      <color rgb="FFFFFFB9"/>
      <color rgb="FFF5C2B9"/>
      <color rgb="FFFFC1C1"/>
      <color rgb="FFC7E6A4"/>
      <color rgb="FFFFAF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b="1"/>
              <a:t>Valor Final Líquido da Operação de Investimento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5">
                <a:shade val="50000"/>
              </a:schemeClr>
            </a:solidFill>
            <a:ln>
              <a:noFill/>
            </a:ln>
            <a:effectLst/>
          </c:spPr>
          <c:invertIfNegative val="0"/>
          <c:cat>
            <c:strRef>
              <c:f>'Pós x Pré Fixados'!$J$16:$J$17</c:f>
              <c:strCache>
                <c:ptCount val="2"/>
                <c:pt idx="0">
                  <c:v>Valor Final Líquido: Pré Fixado</c:v>
                </c:pt>
                <c:pt idx="1">
                  <c:v>Valor Final Líquido: Pós Fixado</c:v>
                </c:pt>
              </c:strCache>
            </c:strRef>
          </c:cat>
          <c:val>
            <c:numRef>
              <c:f>'Pós x Pré Fixados'!$K$16:$K$17</c:f>
              <c:numCache>
                <c:formatCode>General</c:formatCode>
                <c:ptCount val="2"/>
              </c:numCache>
            </c:numRef>
          </c:val>
          <c:extLst>
            <c:ext xmlns:c16="http://schemas.microsoft.com/office/drawing/2014/chart" uri="{C3380CC4-5D6E-409C-BE32-E72D297353CC}">
              <c16:uniqueId val="{00000001-B961-4ADB-85E5-862CBB7EA588}"/>
            </c:ext>
          </c:extLst>
        </c:ser>
        <c:ser>
          <c:idx val="1"/>
          <c:order val="1"/>
          <c:spPr>
            <a:solidFill>
              <a:schemeClr val="accent5">
                <a:shade val="70000"/>
              </a:schemeClr>
            </a:solidFill>
            <a:ln>
              <a:noFill/>
            </a:ln>
            <a:effectLst/>
          </c:spPr>
          <c:invertIfNegative val="0"/>
          <c:cat>
            <c:strRef>
              <c:f>'Pós x Pré Fixados'!$J$16:$J$17</c:f>
              <c:strCache>
                <c:ptCount val="2"/>
                <c:pt idx="0">
                  <c:v>Valor Final Líquido: Pré Fixado</c:v>
                </c:pt>
                <c:pt idx="1">
                  <c:v>Valor Final Líquido: Pós Fixado</c:v>
                </c:pt>
              </c:strCache>
            </c:strRef>
          </c:cat>
          <c:val>
            <c:numRef>
              <c:f>'Pós x Pré Fixados'!$L$16:$L$17</c:f>
              <c:numCache>
                <c:formatCode>General</c:formatCode>
                <c:ptCount val="2"/>
              </c:numCache>
            </c:numRef>
          </c:val>
          <c:extLst>
            <c:ext xmlns:c16="http://schemas.microsoft.com/office/drawing/2014/chart" uri="{C3380CC4-5D6E-409C-BE32-E72D297353CC}">
              <c16:uniqueId val="{00000002-B961-4ADB-85E5-862CBB7EA588}"/>
            </c:ext>
          </c:extLst>
        </c:ser>
        <c:ser>
          <c:idx val="2"/>
          <c:order val="2"/>
          <c:spPr>
            <a:solidFill>
              <a:schemeClr val="accent5">
                <a:shade val="90000"/>
              </a:schemeClr>
            </a:solidFill>
            <a:ln>
              <a:noFill/>
            </a:ln>
            <a:effectLst/>
          </c:spPr>
          <c:invertIfNegative val="0"/>
          <c:cat>
            <c:strRef>
              <c:f>'Pós x Pré Fixados'!$J$16:$J$17</c:f>
              <c:strCache>
                <c:ptCount val="2"/>
                <c:pt idx="0">
                  <c:v>Valor Final Líquido: Pré Fixado</c:v>
                </c:pt>
                <c:pt idx="1">
                  <c:v>Valor Final Líquido: Pós Fixado</c:v>
                </c:pt>
              </c:strCache>
            </c:strRef>
          </c:cat>
          <c:val>
            <c:numRef>
              <c:f>'Pós x Pré Fixados'!$M$16:$M$17</c:f>
              <c:numCache>
                <c:formatCode>General</c:formatCode>
                <c:ptCount val="2"/>
              </c:numCache>
            </c:numRef>
          </c:val>
          <c:extLst>
            <c:ext xmlns:c16="http://schemas.microsoft.com/office/drawing/2014/chart" uri="{C3380CC4-5D6E-409C-BE32-E72D297353CC}">
              <c16:uniqueId val="{00000007-B961-4ADB-85E5-862CBB7EA588}"/>
            </c:ext>
          </c:extLst>
        </c:ser>
        <c:ser>
          <c:idx val="3"/>
          <c:order val="3"/>
          <c:spPr>
            <a:solidFill>
              <a:schemeClr val="accent5">
                <a:tint val="90000"/>
              </a:schemeClr>
            </a:solidFill>
            <a:ln>
              <a:noFill/>
            </a:ln>
            <a:effectLst/>
          </c:spPr>
          <c:invertIfNegative val="0"/>
          <c:dLbls>
            <c:dLbl>
              <c:idx val="0"/>
              <c:layout>
                <c:manualLayout>
                  <c:x val="8.1247733043162809E-2"/>
                  <c:y val="0.10705596107055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961-4ADB-85E5-862CBB7EA588}"/>
                </c:ext>
              </c:extLst>
            </c:dLbl>
            <c:dLbl>
              <c:idx val="1"/>
              <c:layout>
                <c:manualLayout>
                  <c:x val="8.1247733043162754E-2"/>
                  <c:y val="0.102189781021897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961-4ADB-85E5-862CBB7EA58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'Pós x Pré Fixados'!$J$16:$J$17</c:f>
              <c:strCache>
                <c:ptCount val="2"/>
                <c:pt idx="0">
                  <c:v>Valor Final Líquido: Pré Fixado</c:v>
                </c:pt>
                <c:pt idx="1">
                  <c:v>Valor Final Líquido: Pós Fixado</c:v>
                </c:pt>
              </c:strCache>
            </c:strRef>
          </c:cat>
          <c:val>
            <c:numRef>
              <c:f>'Pós x Pré Fixados'!$N$16:$N$17</c:f>
              <c:numCache>
                <c:formatCode>"R$"#,##0.00_);[Red]\("R$"#,##0.00\)</c:formatCode>
                <c:ptCount val="2"/>
                <c:pt idx="0">
                  <c:v>124986.60036320503</c:v>
                </c:pt>
                <c:pt idx="1">
                  <c:v>122584.1885073478</c:v>
                </c:pt>
              </c:numCache>
            </c:numRef>
          </c:val>
          <c:extLst>
            <c:ext xmlns:c16="http://schemas.microsoft.com/office/drawing/2014/chart" uri="{C3380CC4-5D6E-409C-BE32-E72D297353CC}">
              <c16:uniqueId val="{00000008-B961-4ADB-85E5-862CBB7EA588}"/>
            </c:ext>
          </c:extLst>
        </c:ser>
        <c:ser>
          <c:idx val="4"/>
          <c:order val="4"/>
          <c:spPr>
            <a:solidFill>
              <a:schemeClr val="accent5">
                <a:tint val="70000"/>
              </a:schemeClr>
            </a:solidFill>
            <a:ln>
              <a:noFill/>
            </a:ln>
            <a:effectLst/>
          </c:spPr>
          <c:invertIfNegative val="0"/>
          <c:cat>
            <c:strRef>
              <c:f>'Pós x Pré Fixados'!$J$16:$J$17</c:f>
              <c:strCache>
                <c:ptCount val="2"/>
                <c:pt idx="0">
                  <c:v>Valor Final Líquido: Pré Fixado</c:v>
                </c:pt>
                <c:pt idx="1">
                  <c:v>Valor Final Líquido: Pós Fixado</c:v>
                </c:pt>
              </c:strCache>
            </c:strRef>
          </c:cat>
          <c:val>
            <c:numRef>
              <c:f>'Pós x Pré Fixados'!$O$16:$O$17</c:f>
              <c:numCache>
                <c:formatCode>General</c:formatCode>
                <c:ptCount val="2"/>
              </c:numCache>
            </c:numRef>
          </c:val>
          <c:extLst>
            <c:ext xmlns:c16="http://schemas.microsoft.com/office/drawing/2014/chart" uri="{C3380CC4-5D6E-409C-BE32-E72D297353CC}">
              <c16:uniqueId val="{00000009-B961-4ADB-85E5-862CBB7EA588}"/>
            </c:ext>
          </c:extLst>
        </c:ser>
        <c:ser>
          <c:idx val="5"/>
          <c:order val="5"/>
          <c:spPr>
            <a:solidFill>
              <a:schemeClr val="accent5">
                <a:tint val="50000"/>
              </a:schemeClr>
            </a:solidFill>
            <a:ln>
              <a:noFill/>
            </a:ln>
            <a:effectLst/>
          </c:spPr>
          <c:invertIfNegative val="0"/>
          <c:cat>
            <c:strRef>
              <c:f>'Pós x Pré Fixados'!$J$16:$J$17</c:f>
              <c:strCache>
                <c:ptCount val="2"/>
                <c:pt idx="0">
                  <c:v>Valor Final Líquido: Pré Fixado</c:v>
                </c:pt>
                <c:pt idx="1">
                  <c:v>Valor Final Líquido: Pós Fixado</c:v>
                </c:pt>
              </c:strCache>
            </c:strRef>
          </c:cat>
          <c:val>
            <c:numRef>
              <c:f>'Pós x Pré Fixados'!$P$16:$P$17</c:f>
              <c:numCache>
                <c:formatCode>General</c:formatCode>
                <c:ptCount val="2"/>
              </c:numCache>
            </c:numRef>
          </c:val>
          <c:extLst>
            <c:ext xmlns:c16="http://schemas.microsoft.com/office/drawing/2014/chart" uri="{C3380CC4-5D6E-409C-BE32-E72D297353CC}">
              <c16:uniqueId val="{0000000A-B961-4ADB-85E5-862CBB7EA588}"/>
            </c:ext>
          </c:extLst>
        </c:ser>
        <c:dLbls>
          <c:showLegendKey val="0"/>
          <c:showVal val="0"/>
          <c:showCatName val="0"/>
          <c:showSerName val="0"/>
          <c:showPercent val="0"/>
          <c:showBubbleSize val="0"/>
        </c:dLbls>
        <c:gapWidth val="150"/>
        <c:axId val="403263472"/>
        <c:axId val="315289536"/>
      </c:barChart>
      <c:catAx>
        <c:axId val="40326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t-BR"/>
          </a:p>
        </c:txPr>
        <c:crossAx val="315289536"/>
        <c:crosses val="autoZero"/>
        <c:auto val="1"/>
        <c:lblAlgn val="ctr"/>
        <c:lblOffset val="100"/>
        <c:noMultiLvlLbl val="0"/>
      </c:catAx>
      <c:valAx>
        <c:axId val="315289536"/>
        <c:scaling>
          <c:orientation val="minMax"/>
          <c:max val="125000"/>
          <c:min val="120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t-BR"/>
          </a:p>
        </c:txPr>
        <c:crossAx val="403263472"/>
        <c:crosses val="autoZero"/>
        <c:crossBetween val="between"/>
        <c:majorUnit val="1000"/>
        <c:minorUnit val="5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C&#225;lculo de Taxas'!A1"/><Relationship Id="rId2" Type="http://schemas.openxmlformats.org/officeDocument/2006/relationships/hyperlink" Target="#'C&#225;lculos Financeiros'!A1"/><Relationship Id="rId1" Type="http://schemas.openxmlformats.org/officeDocument/2006/relationships/hyperlink" Target="#Capa!A1"/><Relationship Id="rId4" Type="http://schemas.openxmlformats.org/officeDocument/2006/relationships/hyperlink" Target="#'IR no Rendimento'!A1"/></Relationships>
</file>

<file path=xl/drawings/_rels/drawing10.xml.rels><?xml version="1.0" encoding="UTF-8" standalone="yes"?>
<Relationships xmlns="http://schemas.openxmlformats.org/package/2006/relationships"><Relationship Id="rId3" Type="http://schemas.openxmlformats.org/officeDocument/2006/relationships/hyperlink" Target="#'C&#225;lculos Financeiros'!A1"/><Relationship Id="rId2" Type="http://schemas.openxmlformats.org/officeDocument/2006/relationships/hyperlink" Target="#'C&#225;lculo de Taxas'!A1"/><Relationship Id="rId1" Type="http://schemas.openxmlformats.org/officeDocument/2006/relationships/hyperlink" Target="#Capa!A1"/><Relationship Id="rId5" Type="http://schemas.openxmlformats.org/officeDocument/2006/relationships/hyperlink" Target="#'P&#243;s x Pr&#233; Fixados'!A1"/><Relationship Id="rId4" Type="http://schemas.openxmlformats.org/officeDocument/2006/relationships/hyperlink" Target="#'% CDI'!A1"/></Relationships>
</file>

<file path=xl/drawings/_rels/drawing11.xml.rels><?xml version="1.0" encoding="UTF-8" standalone="yes"?>
<Relationships xmlns="http://schemas.openxmlformats.org/package/2006/relationships"><Relationship Id="rId3" Type="http://schemas.openxmlformats.org/officeDocument/2006/relationships/hyperlink" Target="#'C&#225;lculo de Taxas'!A1"/><Relationship Id="rId2" Type="http://schemas.openxmlformats.org/officeDocument/2006/relationships/hyperlink" Target="#'IR no Rendimento'!A1"/><Relationship Id="rId1" Type="http://schemas.openxmlformats.org/officeDocument/2006/relationships/hyperlink" Target="#Capa!A1"/><Relationship Id="rId4" Type="http://schemas.openxmlformats.org/officeDocument/2006/relationships/hyperlink" Target="#'C&#225;lculos Financeiros'!A1"/></Relationships>
</file>

<file path=xl/drawings/_rels/drawing12.xml.rels><?xml version="1.0" encoding="UTF-8" standalone="yes"?>
<Relationships xmlns="http://schemas.openxmlformats.org/package/2006/relationships"><Relationship Id="rId3" Type="http://schemas.openxmlformats.org/officeDocument/2006/relationships/hyperlink" Target="#'API (Suitability)'!A1"/><Relationship Id="rId2" Type="http://schemas.openxmlformats.org/officeDocument/2006/relationships/hyperlink" Target="#'C&#225;lculo de Taxas'!A1"/><Relationship Id="rId1" Type="http://schemas.openxmlformats.org/officeDocument/2006/relationships/hyperlink" Target="#Capa!A1"/><Relationship Id="rId4" Type="http://schemas.openxmlformats.org/officeDocument/2006/relationships/hyperlink" Target="#'C&#225;lculos Financeiros'!A1"/></Relationships>
</file>

<file path=xl/drawings/_rels/drawing13.xml.rels><?xml version="1.0" encoding="UTF-8" standalone="yes"?>
<Relationships xmlns="http://schemas.openxmlformats.org/package/2006/relationships"><Relationship Id="rId3" Type="http://schemas.openxmlformats.org/officeDocument/2006/relationships/hyperlink" Target="#'Classifica&#231;&#227;o Anbima'!A1"/><Relationship Id="rId2" Type="http://schemas.openxmlformats.org/officeDocument/2006/relationships/hyperlink" Target="#'Tipos de Fundos'!A1"/><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3" Type="http://schemas.openxmlformats.org/officeDocument/2006/relationships/hyperlink" Target="#'C&#225;lculos Financeiros'!A1"/><Relationship Id="rId2" Type="http://schemas.openxmlformats.org/officeDocument/2006/relationships/hyperlink" Target="#'C&#225;lculo de Taxas'!A1"/><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3" Type="http://schemas.openxmlformats.org/officeDocument/2006/relationships/hyperlink" Target="#'C&#225;lculos Financeiros'!A1"/><Relationship Id="rId2" Type="http://schemas.openxmlformats.org/officeDocument/2006/relationships/hyperlink" Target="#'C&#225;lculo de Taxas'!A1"/><Relationship Id="rId1" Type="http://schemas.openxmlformats.org/officeDocument/2006/relationships/hyperlink" Target="#Capa!A1"/><Relationship Id="rId5" Type="http://schemas.openxmlformats.org/officeDocument/2006/relationships/hyperlink" Target="#'% CDI'!A1"/><Relationship Id="rId4" Type="http://schemas.openxmlformats.org/officeDocument/2006/relationships/hyperlink" Target="#'Tabela de IR'!A1"/></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Capa!A1"/></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Capa!A1"/><Relationship Id="rId6" Type="http://schemas.openxmlformats.org/officeDocument/2006/relationships/hyperlink" Target="#'Divis&#227;o de Carteira'!A1"/><Relationship Id="rId5" Type="http://schemas.openxmlformats.org/officeDocument/2006/relationships/hyperlink" Target="#FGC!A1"/><Relationship Id="rId4" Type="http://schemas.openxmlformats.org/officeDocument/2006/relationships/hyperlink" Target="#'Tipos de Fundos'!A1"/></Relationships>
</file>

<file path=xl/drawings/_rels/drawing18.xml.rels><?xml version="1.0" encoding="UTF-8" standalone="yes"?>
<Relationships xmlns="http://schemas.openxmlformats.org/package/2006/relationships"><Relationship Id="rId8" Type="http://schemas.openxmlformats.org/officeDocument/2006/relationships/hyperlink" Target="https://www.elfinanciero.com.mx/" TargetMode="External"/><Relationship Id="rId13" Type="http://schemas.openxmlformats.org/officeDocument/2006/relationships/hyperlink" Target="https://www.ft.com/" TargetMode="External"/><Relationship Id="rId3" Type="http://schemas.openxmlformats.org/officeDocument/2006/relationships/hyperlink" Target="https://g1.globo.com/economia/" TargetMode="External"/><Relationship Id="rId7" Type="http://schemas.openxmlformats.org/officeDocument/2006/relationships/hyperlink" Target="https://www.wsj.com/" TargetMode="External"/><Relationship Id="rId12" Type="http://schemas.openxmlformats.org/officeDocument/2006/relationships/hyperlink" Target="https://oglobo.globo.com/" TargetMode="External"/><Relationship Id="rId2" Type="http://schemas.openxmlformats.org/officeDocument/2006/relationships/hyperlink" Target="https://www.bloomberg.com/" TargetMode="External"/><Relationship Id="rId1" Type="http://schemas.openxmlformats.org/officeDocument/2006/relationships/hyperlink" Target="#Capa!A1"/><Relationship Id="rId6" Type="http://schemas.openxmlformats.org/officeDocument/2006/relationships/hyperlink" Target="https://www.bloomberg.com.br/blog/" TargetMode="External"/><Relationship Id="rId11" Type="http://schemas.openxmlformats.org/officeDocument/2006/relationships/hyperlink" Target="https://www.nytimes.com/" TargetMode="External"/><Relationship Id="rId5" Type="http://schemas.openxmlformats.org/officeDocument/2006/relationships/hyperlink" Target="https://br.reuters.com/" TargetMode="External"/><Relationship Id="rId10" Type="http://schemas.openxmlformats.org/officeDocument/2006/relationships/hyperlink" Target="https://www.infomoney.com.br/" TargetMode="External"/><Relationship Id="rId4" Type="http://schemas.openxmlformats.org/officeDocument/2006/relationships/hyperlink" Target="https://economia.uol.com.br/" TargetMode="External"/><Relationship Id="rId9" Type="http://schemas.openxmlformats.org/officeDocument/2006/relationships/hyperlink" Target="https://www.lemonde.fr/" TargetMode="External"/></Relationships>
</file>

<file path=xl/drawings/_rels/drawing19.xml.rels><?xml version="1.0" encoding="UTF-8" standalone="yes"?>
<Relationships xmlns="http://schemas.openxmlformats.org/package/2006/relationships"><Relationship Id="rId3" Type="http://schemas.openxmlformats.org/officeDocument/2006/relationships/hyperlink" Target="#'C&#225;lculos Financeiros'!A1"/><Relationship Id="rId2" Type="http://schemas.openxmlformats.org/officeDocument/2006/relationships/hyperlink" Target="#'C&#225;lculo de Taxas'!A1"/><Relationship Id="rId1" Type="http://schemas.openxmlformats.org/officeDocument/2006/relationships/hyperlink" Target="#Capa!A1"/><Relationship Id="rId5" Type="http://schemas.openxmlformats.org/officeDocument/2006/relationships/hyperlink" Target="#'Tabela de IR'!A1"/><Relationship Id="rId4" Type="http://schemas.openxmlformats.org/officeDocument/2006/relationships/hyperlink" Target="#'% CDI'!A1"/></Relationships>
</file>

<file path=xl/drawings/_rels/drawing2.xml.rels><?xml version="1.0" encoding="UTF-8" standalone="yes"?>
<Relationships xmlns="http://schemas.openxmlformats.org/package/2006/relationships"><Relationship Id="rId3" Type="http://schemas.openxmlformats.org/officeDocument/2006/relationships/hyperlink" Target="#'Tipos de Fundos'!A1"/><Relationship Id="rId2" Type="http://schemas.openxmlformats.org/officeDocument/2006/relationships/hyperlink" Target="#'Divis&#227;o de Carteira'!A1"/><Relationship Id="rId1" Type="http://schemas.openxmlformats.org/officeDocument/2006/relationships/hyperlink" Target="#Capa!A1"/><Relationship Id="rId4" Type="http://schemas.openxmlformats.org/officeDocument/2006/relationships/hyperlink" Target="#'Sharpe da Carteira'!A1"/></Relationships>
</file>

<file path=xl/drawings/_rels/drawing20.xml.rels><?xml version="1.0" encoding="UTF-8" standalone="yes"?>
<Relationships xmlns="http://schemas.openxmlformats.org/package/2006/relationships"><Relationship Id="rId8" Type="http://schemas.openxmlformats.org/officeDocument/2006/relationships/hyperlink" Target="#'IR no Rendimento'!A1"/><Relationship Id="rId3" Type="http://schemas.openxmlformats.org/officeDocument/2006/relationships/image" Target="../media/image7.png"/><Relationship Id="rId7" Type="http://schemas.openxmlformats.org/officeDocument/2006/relationships/hyperlink" Target="#IOF!A1"/><Relationship Id="rId2" Type="http://schemas.openxmlformats.org/officeDocument/2006/relationships/image" Target="../media/image6.png"/><Relationship Id="rId1" Type="http://schemas.openxmlformats.org/officeDocument/2006/relationships/hyperlink" Target="#Capa!A1"/><Relationship Id="rId6" Type="http://schemas.openxmlformats.org/officeDocument/2006/relationships/hyperlink" Target="#'Tabela de IR'!A1"/><Relationship Id="rId5" Type="http://schemas.openxmlformats.org/officeDocument/2006/relationships/image" Target="../media/image9.png"/><Relationship Id="rId4" Type="http://schemas.openxmlformats.org/officeDocument/2006/relationships/image" Target="../media/image8.png"/></Relationships>
</file>

<file path=xl/drawings/_rels/drawing21.xml.rels><?xml version="1.0" encoding="UTF-8" standalone="yes"?>
<Relationships xmlns="http://schemas.openxmlformats.org/package/2006/relationships"><Relationship Id="rId3" Type="http://schemas.openxmlformats.org/officeDocument/2006/relationships/hyperlink" Target="#'C&#225;lculos Financeiros'!A1"/><Relationship Id="rId2" Type="http://schemas.openxmlformats.org/officeDocument/2006/relationships/hyperlink" Target="#'C&#225;lculo de Taxas'!A1"/><Relationship Id="rId1" Type="http://schemas.openxmlformats.org/officeDocument/2006/relationships/hyperlink" Target="#Capa!A1"/><Relationship Id="rId5" Type="http://schemas.openxmlformats.org/officeDocument/2006/relationships/hyperlink" Target="#'Opera&#231;&#245;es Matem&#225;ticas'!A1"/><Relationship Id="rId4" Type="http://schemas.openxmlformats.org/officeDocument/2006/relationships/hyperlink" Target="#'% CDI'!A1"/></Relationships>
</file>

<file path=xl/drawings/_rels/drawing22.xml.rels><?xml version="1.0" encoding="UTF-8" standalone="yes"?>
<Relationships xmlns="http://schemas.openxmlformats.org/package/2006/relationships"><Relationship Id="rId3" Type="http://schemas.openxmlformats.org/officeDocument/2006/relationships/hyperlink" Target="#'C&#225;lculo de Taxas'!A1"/><Relationship Id="rId2" Type="http://schemas.openxmlformats.org/officeDocument/2006/relationships/chart" Target="../charts/chart1.xml"/><Relationship Id="rId1" Type="http://schemas.openxmlformats.org/officeDocument/2006/relationships/hyperlink" Target="#Capa!A1"/><Relationship Id="rId4" Type="http://schemas.openxmlformats.org/officeDocument/2006/relationships/hyperlink" Target="#'IR no Rendimento'!A1"/></Relationships>
</file>

<file path=xl/drawings/_rels/drawing23.xml.rels><?xml version="1.0" encoding="UTF-8" standalone="yes"?>
<Relationships xmlns="http://schemas.openxmlformats.org/package/2006/relationships"><Relationship Id="rId3" Type="http://schemas.openxmlformats.org/officeDocument/2006/relationships/hyperlink" Target="#'C&#225;lculos Financeiros'!A1"/><Relationship Id="rId2" Type="http://schemas.openxmlformats.org/officeDocument/2006/relationships/hyperlink" Target="#'C&#225;lculo de Taxas'!A1"/><Relationship Id="rId1" Type="http://schemas.openxmlformats.org/officeDocument/2006/relationships/hyperlink" Target="#Capa!A1"/><Relationship Id="rId4" Type="http://schemas.openxmlformats.org/officeDocument/2006/relationships/hyperlink" Target="#'Opera&#231;&#245;es Matem&#225;ticas'!A1"/></Relationships>
</file>

<file path=xl/drawings/_rels/drawing24.xml.rels><?xml version="1.0" encoding="UTF-8" standalone="yes"?>
<Relationships xmlns="http://schemas.openxmlformats.org/package/2006/relationships"><Relationship Id="rId3" Type="http://schemas.openxmlformats.org/officeDocument/2006/relationships/hyperlink" Target="#'C&#225;lculos Financeiros'!A1"/><Relationship Id="rId2" Type="http://schemas.openxmlformats.org/officeDocument/2006/relationships/hyperlink" Target="#'C&#225;lculo de Taxas'!A1"/><Relationship Id="rId1" Type="http://schemas.openxmlformats.org/officeDocument/2006/relationships/hyperlink" Target="#Capa!A1"/><Relationship Id="rId4" Type="http://schemas.openxmlformats.org/officeDocument/2006/relationships/hyperlink" Target="#'Opera&#231;&#245;es Matem&#225;ticas'!A1"/></Relationships>
</file>

<file path=xl/drawings/_rels/drawing25.xml.rels><?xml version="1.0" encoding="UTF-8" standalone="yes"?>
<Relationships xmlns="http://schemas.openxmlformats.org/package/2006/relationships"><Relationship Id="rId2" Type="http://schemas.openxmlformats.org/officeDocument/2006/relationships/hyperlink" Target="#'Tabela de IR'!A1"/><Relationship Id="rId1" Type="http://schemas.openxmlformats.org/officeDocument/2006/relationships/hyperlink" Target="#Capa!A1"/></Relationships>
</file>

<file path=xl/drawings/_rels/drawing26.xml.rels><?xml version="1.0" encoding="UTF-8" standalone="yes"?>
<Relationships xmlns="http://schemas.openxmlformats.org/package/2006/relationships"><Relationship Id="rId3" Type="http://schemas.openxmlformats.org/officeDocument/2006/relationships/hyperlink" Target="#'C&#225;lculos Financeiros'!A1"/><Relationship Id="rId2" Type="http://schemas.openxmlformats.org/officeDocument/2006/relationships/hyperlink" Target="#'C&#225;lculo de Taxas'!A1"/><Relationship Id="rId1" Type="http://schemas.openxmlformats.org/officeDocument/2006/relationships/hyperlink" Target="#Capa!A1"/><Relationship Id="rId4" Type="http://schemas.openxmlformats.org/officeDocument/2006/relationships/hyperlink" Target="#'Opera&#231;&#245;es Matem&#225;ticas'!A1"/></Relationships>
</file>

<file path=xl/drawings/_rels/drawing27.xml.rels><?xml version="1.0" encoding="UTF-8" standalone="yes"?>
<Relationships xmlns="http://schemas.openxmlformats.org/package/2006/relationships"><Relationship Id="rId3" Type="http://schemas.openxmlformats.org/officeDocument/2006/relationships/hyperlink" Target="https://www.slickcharts.com/sp500" TargetMode="External"/><Relationship Id="rId2" Type="http://schemas.openxmlformats.org/officeDocument/2006/relationships/image" Target="../media/image10.png"/><Relationship Id="rId1" Type="http://schemas.openxmlformats.org/officeDocument/2006/relationships/hyperlink" Target="#Capa!A1"/></Relationships>
</file>

<file path=xl/drawings/_rels/drawing28.xml.rels><?xml version="1.0" encoding="UTF-8" standalone="yes"?>
<Relationships xmlns="http://schemas.openxmlformats.org/package/2006/relationships"><Relationship Id="rId3" Type="http://schemas.openxmlformats.org/officeDocument/2006/relationships/hyperlink" Target="#'Divis&#227;o de Carteira'!A1"/><Relationship Id="rId2" Type="http://schemas.openxmlformats.org/officeDocument/2006/relationships/image" Target="../media/image11.jpeg"/><Relationship Id="rId1" Type="http://schemas.openxmlformats.org/officeDocument/2006/relationships/hyperlink" Target="#Capa!A1"/></Relationships>
</file>

<file path=xl/drawings/_rels/drawing29.xml.rels><?xml version="1.0" encoding="UTF-8" standalone="yes"?>
<Relationships xmlns="http://schemas.openxmlformats.org/package/2006/relationships"><Relationship Id="rId1" Type="http://schemas.openxmlformats.org/officeDocument/2006/relationships/hyperlink" Target="#Capa!A1"/></Relationships>
</file>

<file path=xl/drawings/_rels/drawing3.xml.rels><?xml version="1.0" encoding="UTF-8" standalone="yes"?>
<Relationships xmlns="http://schemas.openxmlformats.org/package/2006/relationships"><Relationship Id="rId3" Type="http://schemas.openxmlformats.org/officeDocument/2006/relationships/hyperlink" Target="#'P&#243;s x Pr&#233; Fixados'!A1"/><Relationship Id="rId2" Type="http://schemas.openxmlformats.org/officeDocument/2006/relationships/hyperlink" Target="#'C&#225;lculo de Taxas'!A1"/><Relationship Id="rId1" Type="http://schemas.openxmlformats.org/officeDocument/2006/relationships/hyperlink" Target="#Capa!A1"/><Relationship Id="rId6" Type="http://schemas.openxmlformats.org/officeDocument/2006/relationships/hyperlink" Target="#'C&#225;lculos Financeiros'!A1"/><Relationship Id="rId5" Type="http://schemas.openxmlformats.org/officeDocument/2006/relationships/hyperlink" Target="#'Cust&#243;dia - Tesouro'!A1"/><Relationship Id="rId4" Type="http://schemas.openxmlformats.org/officeDocument/2006/relationships/hyperlink" Target="#'IR no Rendimento'!A1"/></Relationships>
</file>

<file path=xl/drawings/_rels/drawing30.xml.rels><?xml version="1.0" encoding="UTF-8" standalone="yes"?>
<Relationships xmlns="http://schemas.openxmlformats.org/package/2006/relationships"><Relationship Id="rId8" Type="http://schemas.openxmlformats.org/officeDocument/2006/relationships/hyperlink" Target="#'Cust&#243;dia - Tesouro'!A1"/><Relationship Id="rId3" Type="http://schemas.openxmlformats.org/officeDocument/2006/relationships/image" Target="../media/image13.png"/><Relationship Id="rId7" Type="http://schemas.openxmlformats.org/officeDocument/2006/relationships/hyperlink" Target="#'C&#225;lculo - Corretora'!A1"/><Relationship Id="rId2" Type="http://schemas.openxmlformats.org/officeDocument/2006/relationships/image" Target="../media/image12.png"/><Relationship Id="rId1" Type="http://schemas.openxmlformats.org/officeDocument/2006/relationships/hyperlink" Target="#Capa!A1"/><Relationship Id="rId6" Type="http://schemas.openxmlformats.org/officeDocument/2006/relationships/hyperlink" Target="#'C&#243;digos STVM'!A1"/><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hyperlink" Target="#'C&#225;lculos Financeiros'!A1"/></Relationships>
</file>

<file path=xl/drawings/_rels/drawing31.xml.rels><?xml version="1.0" encoding="UTF-8" standalone="yes"?>
<Relationships xmlns="http://schemas.openxmlformats.org/package/2006/relationships"><Relationship Id="rId3" Type="http://schemas.openxmlformats.org/officeDocument/2006/relationships/hyperlink" Target="#'C&#225;lculo de Taxas'!A1"/><Relationship Id="rId2" Type="http://schemas.openxmlformats.org/officeDocument/2006/relationships/hyperlink" Target="#'IR no Rendimento'!A1"/><Relationship Id="rId1" Type="http://schemas.openxmlformats.org/officeDocument/2006/relationships/hyperlink" Target="#Capa!A1"/><Relationship Id="rId4" Type="http://schemas.openxmlformats.org/officeDocument/2006/relationships/hyperlink" Target="#PJ!A1"/></Relationships>
</file>

<file path=xl/drawings/_rels/drawing32.xml.rels><?xml version="1.0" encoding="UTF-8" standalone="yes"?>
<Relationships xmlns="http://schemas.openxmlformats.org/package/2006/relationships"><Relationship Id="rId1" Type="http://schemas.openxmlformats.org/officeDocument/2006/relationships/hyperlink" Target="#Capa!A1"/></Relationships>
</file>

<file path=xl/drawings/_rels/drawing33.xml.rels><?xml version="1.0" encoding="UTF-8" standalone="yes"?>
<Relationships xmlns="http://schemas.openxmlformats.org/package/2006/relationships"><Relationship Id="rId3" Type="http://schemas.openxmlformats.org/officeDocument/2006/relationships/hyperlink" Target="#FGC!A1"/><Relationship Id="rId2" Type="http://schemas.openxmlformats.org/officeDocument/2006/relationships/hyperlink" Target="#'Classifica&#231;&#227;o Anbima'!A1"/><Relationship Id="rId1" Type="http://schemas.openxmlformats.org/officeDocument/2006/relationships/hyperlink" Target="#Capa!A1"/><Relationship Id="rId6" Type="http://schemas.openxmlformats.org/officeDocument/2006/relationships/hyperlink" Target="#'Tabela de IR'!A1"/><Relationship Id="rId5" Type="http://schemas.openxmlformats.org/officeDocument/2006/relationships/hyperlink" Target="#'API (Suitability)'!A1"/><Relationship Id="rId4" Type="http://schemas.openxmlformats.org/officeDocument/2006/relationships/hyperlink" Target="#'Divis&#227;o de Carteira'!A1"/></Relationships>
</file>

<file path=xl/drawings/_rels/drawing4.xml.rels><?xml version="1.0" encoding="UTF-8" standalone="yes"?>
<Relationships xmlns="http://schemas.openxmlformats.org/package/2006/relationships"><Relationship Id="rId3" Type="http://schemas.openxmlformats.org/officeDocument/2006/relationships/hyperlink" Target="#'% CDI'!A1"/><Relationship Id="rId2" Type="http://schemas.openxmlformats.org/officeDocument/2006/relationships/hyperlink" Target="#'C&#225;lculos Financeiros'!A1"/><Relationship Id="rId1" Type="http://schemas.openxmlformats.org/officeDocument/2006/relationships/hyperlink" Target="#Capa!A1"/></Relationships>
</file>

<file path=xl/drawings/_rels/drawing5.xml.rels><?xml version="1.0" encoding="UTF-8" standalone="yes"?>
<Relationships xmlns="http://schemas.openxmlformats.org/package/2006/relationships"><Relationship Id="rId3" Type="http://schemas.openxmlformats.org/officeDocument/2006/relationships/hyperlink" Target="#'Opera&#231;&#245;es Matem&#225;ticas'!A1"/><Relationship Id="rId2" Type="http://schemas.openxmlformats.org/officeDocument/2006/relationships/hyperlink" Target="#'C&#225;lculo de Taxas'!A1"/><Relationship Id="rId1" Type="http://schemas.openxmlformats.org/officeDocument/2006/relationships/hyperlink" Target="#Capa!A1"/><Relationship Id="rId4" Type="http://schemas.openxmlformats.org/officeDocument/2006/relationships/hyperlink" Target="#'C&#225;lculo - Corretora'!A1"/></Relationships>
</file>

<file path=xl/drawings/_rels/drawing6.xml.rels><?xml version="1.0" encoding="UTF-8" standalone="yes"?>
<Relationships xmlns="http://schemas.openxmlformats.org/package/2006/relationships"><Relationship Id="rId3" Type="http://schemas.openxmlformats.org/officeDocument/2006/relationships/hyperlink" Target="#'C&#225;lculo de Taxas'!A1"/><Relationship Id="rId2" Type="http://schemas.openxmlformats.org/officeDocument/2006/relationships/hyperlink" Target="#'Divis&#227;o de Carteira'!A1"/><Relationship Id="rId1" Type="http://schemas.openxmlformats.org/officeDocument/2006/relationships/hyperlink" Target="#Capa!A1"/><Relationship Id="rId4" Type="http://schemas.openxmlformats.org/officeDocument/2006/relationships/hyperlink" Target="#'API (Suitability)'!A1"/></Relationships>
</file>

<file path=xl/drawings/_rels/drawing7.xml.rels><?xml version="1.0" encoding="UTF-8" standalone="yes"?>
<Relationships xmlns="http://schemas.openxmlformats.org/package/2006/relationships"><Relationship Id="rId3" Type="http://schemas.openxmlformats.org/officeDocument/2006/relationships/hyperlink" Target="#'Tipos de Fundos'!A1"/><Relationship Id="rId2" Type="http://schemas.openxmlformats.org/officeDocument/2006/relationships/image" Target="../media/image1.png"/><Relationship Id="rId1" Type="http://schemas.openxmlformats.org/officeDocument/2006/relationships/hyperlink" Target="#Capa!A1"/><Relationship Id="rId4" Type="http://schemas.openxmlformats.org/officeDocument/2006/relationships/hyperlink" Target="#FGC!A1"/></Relationships>
</file>

<file path=xl/drawings/_rels/drawing8.xml.rels><?xml version="1.0" encoding="UTF-8" standalone="yes"?>
<Relationships xmlns="http://schemas.openxmlformats.org/package/2006/relationships"><Relationship Id="rId3" Type="http://schemas.openxmlformats.org/officeDocument/2006/relationships/hyperlink" Target="#'Cust&#243;dia - Tesouro'!A1"/><Relationship Id="rId2" Type="http://schemas.openxmlformats.org/officeDocument/2006/relationships/hyperlink" Target="#STVM!A1"/><Relationship Id="rId1" Type="http://schemas.openxmlformats.org/officeDocument/2006/relationships/hyperlink" Target="#Capa!A1"/><Relationship Id="rId5" Type="http://schemas.openxmlformats.org/officeDocument/2006/relationships/hyperlink" Target="#'C&#225;lculo - Corretora'!A1"/><Relationship Id="rId4" Type="http://schemas.openxmlformats.org/officeDocument/2006/relationships/hyperlink" Target="#'C&#225;lculos Financeiros'!A1"/></Relationships>
</file>

<file path=xl/drawings/_rels/drawing9.xml.rels><?xml version="1.0" encoding="UTF-8" standalone="yes"?>
<Relationships xmlns="http://schemas.openxmlformats.org/package/2006/relationships"><Relationship Id="rId3" Type="http://schemas.openxmlformats.org/officeDocument/2006/relationships/hyperlink" Target="#'C&#225;lculos Financeiros'!A1"/><Relationship Id="rId2" Type="http://schemas.openxmlformats.org/officeDocument/2006/relationships/hyperlink" Target="#'C&#225;lculo de Taxas'!A1"/><Relationship Id="rId1" Type="http://schemas.openxmlformats.org/officeDocument/2006/relationships/hyperlink" Target="#Capa!A1"/><Relationship Id="rId4" Type="http://schemas.openxmlformats.org/officeDocument/2006/relationships/hyperlink" Target="#'% CDI'!A1"/></Relationships>
</file>

<file path=xl/drawings/drawing1.xml><?xml version="1.0" encoding="utf-8"?>
<xdr:wsDr xmlns:xdr="http://schemas.openxmlformats.org/drawingml/2006/spreadsheetDrawing" xmlns:a="http://schemas.openxmlformats.org/drawingml/2006/main">
  <xdr:twoCellAnchor>
    <xdr:from>
      <xdr:col>15</xdr:col>
      <xdr:colOff>285750</xdr:colOff>
      <xdr:row>3</xdr:row>
      <xdr:rowOff>180975</xdr:rowOff>
    </xdr:from>
    <xdr:to>
      <xdr:col>17</xdr:col>
      <xdr:colOff>476250</xdr:colOff>
      <xdr:row>6</xdr:row>
      <xdr:rowOff>95250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11F687D0-0A62-4B77-B802-D66E9CE2E366}"/>
            </a:ext>
          </a:extLst>
        </xdr:cNvPr>
        <xdr:cNvSpPr/>
      </xdr:nvSpPr>
      <xdr:spPr>
        <a:xfrm>
          <a:off x="9848850" y="971550"/>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15</xdr:col>
      <xdr:colOff>295275</xdr:colOff>
      <xdr:row>7</xdr:row>
      <xdr:rowOff>114300</xdr:rowOff>
    </xdr:from>
    <xdr:to>
      <xdr:col>17</xdr:col>
      <xdr:colOff>476250</xdr:colOff>
      <xdr:row>10</xdr:row>
      <xdr:rowOff>28575</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F12E969C-C75A-404D-B5F6-4BD19331F9B8}"/>
            </a:ext>
          </a:extLst>
        </xdr:cNvPr>
        <xdr:cNvSpPr/>
      </xdr:nvSpPr>
      <xdr:spPr>
        <a:xfrm>
          <a:off x="9858375" y="169545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Cálculos Finan.</a:t>
          </a:r>
        </a:p>
      </xdr:txBody>
    </xdr:sp>
    <xdr:clientData/>
  </xdr:twoCellAnchor>
  <xdr:twoCellAnchor>
    <xdr:from>
      <xdr:col>15</xdr:col>
      <xdr:colOff>295275</xdr:colOff>
      <xdr:row>11</xdr:row>
      <xdr:rowOff>47625</xdr:rowOff>
    </xdr:from>
    <xdr:to>
      <xdr:col>17</xdr:col>
      <xdr:colOff>476250</xdr:colOff>
      <xdr:row>13</xdr:row>
      <xdr:rowOff>161925</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EA3F496B-8FFF-4BA4-B1D7-1EC49FA6E046}"/>
            </a:ext>
          </a:extLst>
        </xdr:cNvPr>
        <xdr:cNvSpPr/>
      </xdr:nvSpPr>
      <xdr:spPr>
        <a:xfrm>
          <a:off x="9858375" y="242887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Taxas</a:t>
          </a:r>
        </a:p>
      </xdr:txBody>
    </xdr:sp>
    <xdr:clientData/>
  </xdr:twoCellAnchor>
  <xdr:twoCellAnchor>
    <xdr:from>
      <xdr:col>15</xdr:col>
      <xdr:colOff>295275</xdr:colOff>
      <xdr:row>14</xdr:row>
      <xdr:rowOff>190500</xdr:rowOff>
    </xdr:from>
    <xdr:to>
      <xdr:col>17</xdr:col>
      <xdr:colOff>476250</xdr:colOff>
      <xdr:row>18</xdr:row>
      <xdr:rowOff>28575</xdr:rowOff>
    </xdr:to>
    <xdr:sp macro="" textlink="">
      <xdr:nvSpPr>
        <xdr:cNvPr id="5" name="Retângulo 4">
          <a:hlinkClick xmlns:r="http://schemas.openxmlformats.org/officeDocument/2006/relationships" r:id="rId4"/>
          <a:extLst>
            <a:ext uri="{FF2B5EF4-FFF2-40B4-BE49-F238E27FC236}">
              <a16:creationId xmlns:a16="http://schemas.microsoft.com/office/drawing/2014/main" id="{528FFFA1-C74E-44E3-AD74-2AE4B25736C3}"/>
            </a:ext>
          </a:extLst>
        </xdr:cNvPr>
        <xdr:cNvSpPr/>
      </xdr:nvSpPr>
      <xdr:spPr>
        <a:xfrm>
          <a:off x="9858375" y="3171825"/>
          <a:ext cx="1400175" cy="6286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IR</a:t>
          </a:r>
          <a:r>
            <a:rPr lang="pt-BR" sz="1500" b="1" baseline="0"/>
            <a:t> no Rendimento</a:t>
          </a:r>
          <a:endParaRPr lang="pt-BR" sz="1500" b="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180975</xdr:colOff>
      <xdr:row>3</xdr:row>
      <xdr:rowOff>180975</xdr:rowOff>
    </xdr:from>
    <xdr:to>
      <xdr:col>19</xdr:col>
      <xdr:colOff>371475</xdr:colOff>
      <xdr:row>6</xdr:row>
      <xdr:rowOff>104775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9F193769-0A48-42C3-A7DE-27D2A9ADC9E6}"/>
            </a:ext>
          </a:extLst>
        </xdr:cNvPr>
        <xdr:cNvSpPr/>
      </xdr:nvSpPr>
      <xdr:spPr>
        <a:xfrm>
          <a:off x="10868025" y="971550"/>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17</xdr:col>
      <xdr:colOff>200025</xdr:colOff>
      <xdr:row>7</xdr:row>
      <xdr:rowOff>66675</xdr:rowOff>
    </xdr:from>
    <xdr:to>
      <xdr:col>19</xdr:col>
      <xdr:colOff>381000</xdr:colOff>
      <xdr:row>10</xdr:row>
      <xdr:rowOff>9525</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454FE2D3-691C-4C31-A611-1CEB3AE5E88A}"/>
            </a:ext>
          </a:extLst>
        </xdr:cNvPr>
        <xdr:cNvSpPr/>
      </xdr:nvSpPr>
      <xdr:spPr>
        <a:xfrm>
          <a:off x="10887075" y="162877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Taxas</a:t>
          </a:r>
        </a:p>
      </xdr:txBody>
    </xdr:sp>
    <xdr:clientData/>
  </xdr:twoCellAnchor>
  <xdr:twoCellAnchor>
    <xdr:from>
      <xdr:col>17</xdr:col>
      <xdr:colOff>200025</xdr:colOff>
      <xdr:row>10</xdr:row>
      <xdr:rowOff>133350</xdr:rowOff>
    </xdr:from>
    <xdr:to>
      <xdr:col>19</xdr:col>
      <xdr:colOff>381000</xdr:colOff>
      <xdr:row>13</xdr:row>
      <xdr:rowOff>66675</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ECB2AA36-0EB4-40B9-A70B-15D75E798FC0}"/>
            </a:ext>
          </a:extLst>
        </xdr:cNvPr>
        <xdr:cNvSpPr/>
      </xdr:nvSpPr>
      <xdr:spPr>
        <a:xfrm>
          <a:off x="10887075" y="226695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Cálculos Finan.</a:t>
          </a:r>
        </a:p>
      </xdr:txBody>
    </xdr:sp>
    <xdr:clientData/>
  </xdr:twoCellAnchor>
  <xdr:twoCellAnchor>
    <xdr:from>
      <xdr:col>17</xdr:col>
      <xdr:colOff>200025</xdr:colOff>
      <xdr:row>14</xdr:row>
      <xdr:rowOff>9525</xdr:rowOff>
    </xdr:from>
    <xdr:to>
      <xdr:col>19</xdr:col>
      <xdr:colOff>381000</xdr:colOff>
      <xdr:row>16</xdr:row>
      <xdr:rowOff>142875</xdr:rowOff>
    </xdr:to>
    <xdr:sp macro="" textlink="">
      <xdr:nvSpPr>
        <xdr:cNvPr id="5" name="Retângulo 4">
          <a:hlinkClick xmlns:r="http://schemas.openxmlformats.org/officeDocument/2006/relationships" r:id="rId4"/>
          <a:extLst>
            <a:ext uri="{FF2B5EF4-FFF2-40B4-BE49-F238E27FC236}">
              <a16:creationId xmlns:a16="http://schemas.microsoft.com/office/drawing/2014/main" id="{AF44ABBA-CD41-44A7-92E5-B9C32E1A00E6}"/>
            </a:ext>
          </a:extLst>
        </xdr:cNvPr>
        <xdr:cNvSpPr/>
      </xdr:nvSpPr>
      <xdr:spPr>
        <a:xfrm>
          <a:off x="10887075" y="291465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a:t>
          </a:r>
          <a:r>
            <a:rPr lang="pt-BR" sz="1500" b="1" baseline="0"/>
            <a:t> do CDI</a:t>
          </a:r>
          <a:endParaRPr lang="pt-BR" sz="1500" b="1"/>
        </a:p>
      </xdr:txBody>
    </xdr:sp>
    <xdr:clientData/>
  </xdr:twoCellAnchor>
  <xdr:twoCellAnchor>
    <xdr:from>
      <xdr:col>17</xdr:col>
      <xdr:colOff>200025</xdr:colOff>
      <xdr:row>17</xdr:row>
      <xdr:rowOff>76200</xdr:rowOff>
    </xdr:from>
    <xdr:to>
      <xdr:col>19</xdr:col>
      <xdr:colOff>381000</xdr:colOff>
      <xdr:row>20</xdr:row>
      <xdr:rowOff>19050</xdr:rowOff>
    </xdr:to>
    <xdr:sp macro="" textlink="">
      <xdr:nvSpPr>
        <xdr:cNvPr id="6" name="Retângulo 5">
          <a:hlinkClick xmlns:r="http://schemas.openxmlformats.org/officeDocument/2006/relationships" r:id="rId5"/>
          <a:extLst>
            <a:ext uri="{FF2B5EF4-FFF2-40B4-BE49-F238E27FC236}">
              <a16:creationId xmlns:a16="http://schemas.microsoft.com/office/drawing/2014/main" id="{2DD9AB07-3A2B-4F16-9461-F5355A8E2591}"/>
            </a:ext>
          </a:extLst>
        </xdr:cNvPr>
        <xdr:cNvSpPr/>
      </xdr:nvSpPr>
      <xdr:spPr>
        <a:xfrm>
          <a:off x="10887075" y="355282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Pós x Pré</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333375</xdr:colOff>
      <xdr:row>4</xdr:row>
      <xdr:rowOff>0</xdr:rowOff>
    </xdr:from>
    <xdr:to>
      <xdr:col>14</xdr:col>
      <xdr:colOff>523875</xdr:colOff>
      <xdr:row>6</xdr:row>
      <xdr:rowOff>104775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B5B71D36-F700-40EC-83A7-6BA806BDB9C3}"/>
            </a:ext>
          </a:extLst>
        </xdr:cNvPr>
        <xdr:cNvSpPr/>
      </xdr:nvSpPr>
      <xdr:spPr>
        <a:xfrm>
          <a:off x="8067675" y="981075"/>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12</xdr:col>
      <xdr:colOff>333375</xdr:colOff>
      <xdr:row>7</xdr:row>
      <xdr:rowOff>104775</xdr:rowOff>
    </xdr:from>
    <xdr:to>
      <xdr:col>14</xdr:col>
      <xdr:colOff>514350</xdr:colOff>
      <xdr:row>10</xdr:row>
      <xdr:rowOff>152400</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6A4FBC1E-5F78-40C5-9C80-BE09EA6562CD}"/>
            </a:ext>
          </a:extLst>
        </xdr:cNvPr>
        <xdr:cNvSpPr/>
      </xdr:nvSpPr>
      <xdr:spPr>
        <a:xfrm>
          <a:off x="8067675" y="1685925"/>
          <a:ext cx="1400175" cy="6286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IR</a:t>
          </a:r>
          <a:r>
            <a:rPr lang="pt-BR" sz="1500" b="1" baseline="0"/>
            <a:t> no Rendimento</a:t>
          </a:r>
          <a:endParaRPr lang="pt-BR" sz="1500" b="1"/>
        </a:p>
      </xdr:txBody>
    </xdr:sp>
    <xdr:clientData/>
  </xdr:twoCellAnchor>
  <xdr:twoCellAnchor>
    <xdr:from>
      <xdr:col>12</xdr:col>
      <xdr:colOff>342900</xdr:colOff>
      <xdr:row>11</xdr:row>
      <xdr:rowOff>85725</xdr:rowOff>
    </xdr:from>
    <xdr:to>
      <xdr:col>14</xdr:col>
      <xdr:colOff>523875</xdr:colOff>
      <xdr:row>14</xdr:row>
      <xdr:rowOff>19050</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1A93F1AE-9BA3-4ADC-A462-D540C461DE52}"/>
            </a:ext>
          </a:extLst>
        </xdr:cNvPr>
        <xdr:cNvSpPr/>
      </xdr:nvSpPr>
      <xdr:spPr>
        <a:xfrm>
          <a:off x="8077200" y="243840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Taxas</a:t>
          </a:r>
        </a:p>
      </xdr:txBody>
    </xdr:sp>
    <xdr:clientData/>
  </xdr:twoCellAnchor>
  <xdr:twoCellAnchor>
    <xdr:from>
      <xdr:col>12</xdr:col>
      <xdr:colOff>342900</xdr:colOff>
      <xdr:row>14</xdr:row>
      <xdr:rowOff>142875</xdr:rowOff>
    </xdr:from>
    <xdr:to>
      <xdr:col>14</xdr:col>
      <xdr:colOff>523875</xdr:colOff>
      <xdr:row>17</xdr:row>
      <xdr:rowOff>76200</xdr:rowOff>
    </xdr:to>
    <xdr:sp macro="" textlink="">
      <xdr:nvSpPr>
        <xdr:cNvPr id="5" name="Retângulo 4">
          <a:hlinkClick xmlns:r="http://schemas.openxmlformats.org/officeDocument/2006/relationships" r:id="rId4"/>
          <a:extLst>
            <a:ext uri="{FF2B5EF4-FFF2-40B4-BE49-F238E27FC236}">
              <a16:creationId xmlns:a16="http://schemas.microsoft.com/office/drawing/2014/main" id="{CD869A2F-847C-4D33-BB10-D605F1C53BA8}"/>
            </a:ext>
          </a:extLst>
        </xdr:cNvPr>
        <xdr:cNvSpPr/>
      </xdr:nvSpPr>
      <xdr:spPr>
        <a:xfrm>
          <a:off x="8077200" y="307657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Cálculos Finan.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276225</xdr:colOff>
      <xdr:row>5</xdr:row>
      <xdr:rowOff>161925</xdr:rowOff>
    </xdr:from>
    <xdr:to>
      <xdr:col>18</xdr:col>
      <xdr:colOff>466725</xdr:colOff>
      <xdr:row>8</xdr:row>
      <xdr:rowOff>76200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D0C8E7C8-553C-4E2C-8A9F-07BFE349978E}"/>
            </a:ext>
          </a:extLst>
        </xdr:cNvPr>
        <xdr:cNvSpPr/>
      </xdr:nvSpPr>
      <xdr:spPr>
        <a:xfrm>
          <a:off x="10344150" y="1343025"/>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16</xdr:col>
      <xdr:colOff>295275</xdr:colOff>
      <xdr:row>9</xdr:row>
      <xdr:rowOff>38100</xdr:rowOff>
    </xdr:from>
    <xdr:to>
      <xdr:col>18</xdr:col>
      <xdr:colOff>476250</xdr:colOff>
      <xdr:row>11</xdr:row>
      <xdr:rowOff>152400</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1D4DC79F-F494-41CB-BAA0-797A06FEDF61}"/>
            </a:ext>
          </a:extLst>
        </xdr:cNvPr>
        <xdr:cNvSpPr/>
      </xdr:nvSpPr>
      <xdr:spPr>
        <a:xfrm>
          <a:off x="10572750" y="200025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Taxas</a:t>
          </a:r>
        </a:p>
      </xdr:txBody>
    </xdr:sp>
    <xdr:clientData/>
  </xdr:twoCellAnchor>
  <xdr:twoCellAnchor>
    <xdr:from>
      <xdr:col>16</xdr:col>
      <xdr:colOff>285750</xdr:colOff>
      <xdr:row>12</xdr:row>
      <xdr:rowOff>76200</xdr:rowOff>
    </xdr:from>
    <xdr:to>
      <xdr:col>18</xdr:col>
      <xdr:colOff>466725</xdr:colOff>
      <xdr:row>14</xdr:row>
      <xdr:rowOff>190500</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F6FD4B7D-666F-435E-84D5-D93F66CF7C9D}"/>
            </a:ext>
          </a:extLst>
        </xdr:cNvPr>
        <xdr:cNvSpPr/>
      </xdr:nvSpPr>
      <xdr:spPr>
        <a:xfrm>
          <a:off x="10563225" y="263842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API</a:t>
          </a:r>
        </a:p>
      </xdr:txBody>
    </xdr:sp>
    <xdr:clientData/>
  </xdr:twoCellAnchor>
  <xdr:twoCellAnchor>
    <xdr:from>
      <xdr:col>16</xdr:col>
      <xdr:colOff>276225</xdr:colOff>
      <xdr:row>15</xdr:row>
      <xdr:rowOff>123825</xdr:rowOff>
    </xdr:from>
    <xdr:to>
      <xdr:col>18</xdr:col>
      <xdr:colOff>457200</xdr:colOff>
      <xdr:row>18</xdr:row>
      <xdr:rowOff>38100</xdr:rowOff>
    </xdr:to>
    <xdr:sp macro="" textlink="">
      <xdr:nvSpPr>
        <xdr:cNvPr id="5" name="Retângulo 4">
          <a:hlinkClick xmlns:r="http://schemas.openxmlformats.org/officeDocument/2006/relationships" r:id="rId4"/>
          <a:extLst>
            <a:ext uri="{FF2B5EF4-FFF2-40B4-BE49-F238E27FC236}">
              <a16:creationId xmlns:a16="http://schemas.microsoft.com/office/drawing/2014/main" id="{ED1CF3EA-28AE-4B03-9F17-A4D6F20E78A9}"/>
            </a:ext>
          </a:extLst>
        </xdr:cNvPr>
        <xdr:cNvSpPr/>
      </xdr:nvSpPr>
      <xdr:spPr>
        <a:xfrm>
          <a:off x="10553700" y="328612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Cálculos Finan.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219075</xdr:colOff>
      <xdr:row>4</xdr:row>
      <xdr:rowOff>0</xdr:rowOff>
    </xdr:from>
    <xdr:to>
      <xdr:col>17</xdr:col>
      <xdr:colOff>409575</xdr:colOff>
      <xdr:row>6</xdr:row>
      <xdr:rowOff>66675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4CB54AEC-EFC6-4C6A-8341-F38F1C036945}"/>
            </a:ext>
          </a:extLst>
        </xdr:cNvPr>
        <xdr:cNvSpPr/>
      </xdr:nvSpPr>
      <xdr:spPr>
        <a:xfrm>
          <a:off x="9782175" y="981075"/>
          <a:ext cx="1409700" cy="514350"/>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15</xdr:col>
      <xdr:colOff>219075</xdr:colOff>
      <xdr:row>7</xdr:row>
      <xdr:rowOff>19050</xdr:rowOff>
    </xdr:from>
    <xdr:to>
      <xdr:col>17</xdr:col>
      <xdr:colOff>400050</xdr:colOff>
      <xdr:row>10</xdr:row>
      <xdr:rowOff>0</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6BE6AC8E-80FB-4CD7-A8DC-A991A5FF4655}"/>
            </a:ext>
          </a:extLst>
        </xdr:cNvPr>
        <xdr:cNvSpPr/>
      </xdr:nvSpPr>
      <xdr:spPr>
        <a:xfrm>
          <a:off x="9782175" y="1647825"/>
          <a:ext cx="1400175" cy="581025"/>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Tipos de Fundos</a:t>
          </a:r>
        </a:p>
      </xdr:txBody>
    </xdr:sp>
    <xdr:clientData/>
  </xdr:twoCellAnchor>
  <xdr:twoCellAnchor>
    <xdr:from>
      <xdr:col>15</xdr:col>
      <xdr:colOff>219075</xdr:colOff>
      <xdr:row>10</xdr:row>
      <xdr:rowOff>114299</xdr:rowOff>
    </xdr:from>
    <xdr:to>
      <xdr:col>17</xdr:col>
      <xdr:colOff>400050</xdr:colOff>
      <xdr:row>13</xdr:row>
      <xdr:rowOff>95249</xdr:rowOff>
    </xdr:to>
    <xdr:sp macro="" textlink="">
      <xdr:nvSpPr>
        <xdr:cNvPr id="5" name="Retângulo 4">
          <a:hlinkClick xmlns:r="http://schemas.openxmlformats.org/officeDocument/2006/relationships" r:id="rId3"/>
          <a:extLst>
            <a:ext uri="{FF2B5EF4-FFF2-40B4-BE49-F238E27FC236}">
              <a16:creationId xmlns:a16="http://schemas.microsoft.com/office/drawing/2014/main" id="{713BCE90-E6DC-4AB9-9974-C8975CA3786D}"/>
            </a:ext>
          </a:extLst>
        </xdr:cNvPr>
        <xdr:cNvSpPr/>
      </xdr:nvSpPr>
      <xdr:spPr>
        <a:xfrm>
          <a:off x="9782175" y="2343149"/>
          <a:ext cx="1400175" cy="581025"/>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Classificação Anbima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438150</xdr:colOff>
      <xdr:row>3</xdr:row>
      <xdr:rowOff>161925</xdr:rowOff>
    </xdr:from>
    <xdr:to>
      <xdr:col>11</xdr:col>
      <xdr:colOff>657225</xdr:colOff>
      <xdr:row>6</xdr:row>
      <xdr:rowOff>76200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979C0DF9-7F2A-4814-AF78-539B525E40A9}"/>
            </a:ext>
          </a:extLst>
        </xdr:cNvPr>
        <xdr:cNvSpPr/>
      </xdr:nvSpPr>
      <xdr:spPr>
        <a:xfrm>
          <a:off x="9010650" y="952500"/>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9</xdr:col>
      <xdr:colOff>466725</xdr:colOff>
      <xdr:row>7</xdr:row>
      <xdr:rowOff>28575</xdr:rowOff>
    </xdr:from>
    <xdr:to>
      <xdr:col>11</xdr:col>
      <xdr:colOff>676275</xdr:colOff>
      <xdr:row>9</xdr:row>
      <xdr:rowOff>142875</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2200E065-D419-470D-A8A2-6EE68658B40E}"/>
            </a:ext>
          </a:extLst>
        </xdr:cNvPr>
        <xdr:cNvSpPr/>
      </xdr:nvSpPr>
      <xdr:spPr>
        <a:xfrm>
          <a:off x="9039225" y="160972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Taxas</a:t>
          </a:r>
        </a:p>
      </xdr:txBody>
    </xdr:sp>
    <xdr:clientData/>
  </xdr:twoCellAnchor>
  <xdr:twoCellAnchor>
    <xdr:from>
      <xdr:col>9</xdr:col>
      <xdr:colOff>466725</xdr:colOff>
      <xdr:row>10</xdr:row>
      <xdr:rowOff>85725</xdr:rowOff>
    </xdr:from>
    <xdr:to>
      <xdr:col>11</xdr:col>
      <xdr:colOff>676275</xdr:colOff>
      <xdr:row>13</xdr:row>
      <xdr:rowOff>0</xdr:rowOff>
    </xdr:to>
    <xdr:sp macro="" textlink="">
      <xdr:nvSpPr>
        <xdr:cNvPr id="5" name="Retângulo 4">
          <a:hlinkClick xmlns:r="http://schemas.openxmlformats.org/officeDocument/2006/relationships" r:id="rId3"/>
          <a:extLst>
            <a:ext uri="{FF2B5EF4-FFF2-40B4-BE49-F238E27FC236}">
              <a16:creationId xmlns:a16="http://schemas.microsoft.com/office/drawing/2014/main" id="{2D188FF7-7AAD-41DF-A420-D975D7305270}"/>
            </a:ext>
          </a:extLst>
        </xdr:cNvPr>
        <xdr:cNvSpPr/>
      </xdr:nvSpPr>
      <xdr:spPr>
        <a:xfrm>
          <a:off x="9039225" y="226695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Cálculos Finan.</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123825</xdr:colOff>
      <xdr:row>3</xdr:row>
      <xdr:rowOff>161925</xdr:rowOff>
    </xdr:from>
    <xdr:to>
      <xdr:col>20</xdr:col>
      <xdr:colOff>314325</xdr:colOff>
      <xdr:row>6</xdr:row>
      <xdr:rowOff>95250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D1970A9C-AA48-44FD-B49B-FD307F23FCC8}"/>
            </a:ext>
          </a:extLst>
        </xdr:cNvPr>
        <xdr:cNvSpPr/>
      </xdr:nvSpPr>
      <xdr:spPr>
        <a:xfrm>
          <a:off x="10896600" y="952500"/>
          <a:ext cx="1409700" cy="514350"/>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18</xdr:col>
      <xdr:colOff>133350</xdr:colOff>
      <xdr:row>7</xdr:row>
      <xdr:rowOff>47625</xdr:rowOff>
    </xdr:from>
    <xdr:to>
      <xdr:col>20</xdr:col>
      <xdr:colOff>314325</xdr:colOff>
      <xdr:row>9</xdr:row>
      <xdr:rowOff>161925</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5675D2D9-DCDE-4B5C-AC49-F9F4A7684321}"/>
            </a:ext>
          </a:extLst>
        </xdr:cNvPr>
        <xdr:cNvSpPr/>
      </xdr:nvSpPr>
      <xdr:spPr>
        <a:xfrm>
          <a:off x="10906125" y="161925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Taxas</a:t>
          </a:r>
        </a:p>
      </xdr:txBody>
    </xdr:sp>
    <xdr:clientData/>
  </xdr:twoCellAnchor>
  <xdr:twoCellAnchor>
    <xdr:from>
      <xdr:col>18</xdr:col>
      <xdr:colOff>133350</xdr:colOff>
      <xdr:row>10</xdr:row>
      <xdr:rowOff>85725</xdr:rowOff>
    </xdr:from>
    <xdr:to>
      <xdr:col>20</xdr:col>
      <xdr:colOff>314325</xdr:colOff>
      <xdr:row>13</xdr:row>
      <xdr:rowOff>9525</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DA010814-4502-4023-84DD-BE260E0DE102}"/>
            </a:ext>
          </a:extLst>
        </xdr:cNvPr>
        <xdr:cNvSpPr/>
      </xdr:nvSpPr>
      <xdr:spPr>
        <a:xfrm>
          <a:off x="10906125" y="224790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Cálculos Finan.</a:t>
          </a:r>
        </a:p>
      </xdr:txBody>
    </xdr:sp>
    <xdr:clientData/>
  </xdr:twoCellAnchor>
  <xdr:twoCellAnchor>
    <xdr:from>
      <xdr:col>18</xdr:col>
      <xdr:colOff>133350</xdr:colOff>
      <xdr:row>13</xdr:row>
      <xdr:rowOff>142875</xdr:rowOff>
    </xdr:from>
    <xdr:to>
      <xdr:col>20</xdr:col>
      <xdr:colOff>314325</xdr:colOff>
      <xdr:row>16</xdr:row>
      <xdr:rowOff>85725</xdr:rowOff>
    </xdr:to>
    <xdr:sp macro="" textlink="">
      <xdr:nvSpPr>
        <xdr:cNvPr id="5" name="Retângulo 4">
          <a:hlinkClick xmlns:r="http://schemas.openxmlformats.org/officeDocument/2006/relationships" r:id="rId4"/>
          <a:extLst>
            <a:ext uri="{FF2B5EF4-FFF2-40B4-BE49-F238E27FC236}">
              <a16:creationId xmlns:a16="http://schemas.microsoft.com/office/drawing/2014/main" id="{33115C6A-5BEA-49CF-AC16-8232C96FBC8A}"/>
            </a:ext>
          </a:extLst>
        </xdr:cNvPr>
        <xdr:cNvSpPr/>
      </xdr:nvSpPr>
      <xdr:spPr>
        <a:xfrm>
          <a:off x="10906125" y="289560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Tabela de IR</a:t>
          </a:r>
        </a:p>
      </xdr:txBody>
    </xdr:sp>
    <xdr:clientData/>
  </xdr:twoCellAnchor>
  <xdr:twoCellAnchor>
    <xdr:from>
      <xdr:col>18</xdr:col>
      <xdr:colOff>133350</xdr:colOff>
      <xdr:row>17</xdr:row>
      <xdr:rowOff>19050</xdr:rowOff>
    </xdr:from>
    <xdr:to>
      <xdr:col>20</xdr:col>
      <xdr:colOff>314325</xdr:colOff>
      <xdr:row>19</xdr:row>
      <xdr:rowOff>152400</xdr:rowOff>
    </xdr:to>
    <xdr:sp macro="" textlink="">
      <xdr:nvSpPr>
        <xdr:cNvPr id="6" name="Retângulo 5">
          <a:hlinkClick xmlns:r="http://schemas.openxmlformats.org/officeDocument/2006/relationships" r:id="rId5"/>
          <a:extLst>
            <a:ext uri="{FF2B5EF4-FFF2-40B4-BE49-F238E27FC236}">
              <a16:creationId xmlns:a16="http://schemas.microsoft.com/office/drawing/2014/main" id="{98F22260-17BD-47FB-A729-944E1FA69144}"/>
            </a:ext>
          </a:extLst>
        </xdr:cNvPr>
        <xdr:cNvSpPr/>
      </xdr:nvSpPr>
      <xdr:spPr>
        <a:xfrm>
          <a:off x="10906125" y="353377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 do CDI</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428625</xdr:colOff>
      <xdr:row>5</xdr:row>
      <xdr:rowOff>76200</xdr:rowOff>
    </xdr:from>
    <xdr:to>
      <xdr:col>19</xdr:col>
      <xdr:colOff>9525</xdr:colOff>
      <xdr:row>8</xdr:row>
      <xdr:rowOff>19050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12C6D2BF-AFB9-424E-8767-18F326C99496}"/>
            </a:ext>
          </a:extLst>
        </xdr:cNvPr>
        <xdr:cNvSpPr/>
      </xdr:nvSpPr>
      <xdr:spPr>
        <a:xfrm>
          <a:off x="10601325" y="1247775"/>
          <a:ext cx="1409700" cy="514350"/>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editAs="oneCell">
    <xdr:from>
      <xdr:col>3</xdr:col>
      <xdr:colOff>333375</xdr:colOff>
      <xdr:row>4</xdr:row>
      <xdr:rowOff>28575</xdr:rowOff>
    </xdr:from>
    <xdr:to>
      <xdr:col>8</xdr:col>
      <xdr:colOff>381000</xdr:colOff>
      <xdr:row>25</xdr:row>
      <xdr:rowOff>85725</xdr:rowOff>
    </xdr:to>
    <xdr:pic>
      <xdr:nvPicPr>
        <xdr:cNvPr id="3" name="Imagem 2" descr="DDD_Capitais_Brasil">
          <a:extLst>
            <a:ext uri="{FF2B5EF4-FFF2-40B4-BE49-F238E27FC236}">
              <a16:creationId xmlns:a16="http://schemas.microsoft.com/office/drawing/2014/main" id="{F07A2C7A-7536-490C-8383-7F563F0AD9E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0290" b="4910"/>
        <a:stretch/>
      </xdr:blipFill>
      <xdr:spPr bwMode="auto">
        <a:xfrm>
          <a:off x="2476500" y="1009650"/>
          <a:ext cx="3200400" cy="405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598626</xdr:colOff>
      <xdr:row>3</xdr:row>
      <xdr:rowOff>114299</xdr:rowOff>
    </xdr:from>
    <xdr:to>
      <xdr:col>15</xdr:col>
      <xdr:colOff>219141</xdr:colOff>
      <xdr:row>25</xdr:row>
      <xdr:rowOff>28574</xdr:rowOff>
    </xdr:to>
    <xdr:pic>
      <xdr:nvPicPr>
        <xdr:cNvPr id="4" name="Imagem 3" descr="Image result for ddd brasil">
          <a:extLst>
            <a:ext uri="{FF2B5EF4-FFF2-40B4-BE49-F238E27FC236}">
              <a16:creationId xmlns:a16="http://schemas.microsoft.com/office/drawing/2014/main" id="{D2A3F6E5-0A09-4795-96A5-AAB20089B2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94526" y="904874"/>
          <a:ext cx="3887715" cy="410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15</xdr:col>
      <xdr:colOff>485775</xdr:colOff>
      <xdr:row>3</xdr:row>
      <xdr:rowOff>180975</xdr:rowOff>
    </xdr:from>
    <xdr:to>
      <xdr:col>18</xdr:col>
      <xdr:colOff>66675</xdr:colOff>
      <xdr:row>6</xdr:row>
      <xdr:rowOff>114300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C1422BF-97F3-4786-B8C0-ACC221D73F76}"/>
            </a:ext>
          </a:extLst>
        </xdr:cNvPr>
        <xdr:cNvSpPr/>
      </xdr:nvSpPr>
      <xdr:spPr>
        <a:xfrm>
          <a:off x="10153650" y="971550"/>
          <a:ext cx="1409700" cy="514350"/>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editAs="oneCell">
    <xdr:from>
      <xdr:col>12</xdr:col>
      <xdr:colOff>66676</xdr:colOff>
      <xdr:row>5</xdr:row>
      <xdr:rowOff>152400</xdr:rowOff>
    </xdr:from>
    <xdr:to>
      <xdr:col>13</xdr:col>
      <xdr:colOff>123826</xdr:colOff>
      <xdr:row>9</xdr:row>
      <xdr:rowOff>57150</xdr:rowOff>
    </xdr:to>
    <xdr:pic>
      <xdr:nvPicPr>
        <xdr:cNvPr id="3" name="Imagem 2" descr="Image result for emoji thinking">
          <a:extLst>
            <a:ext uri="{FF2B5EF4-FFF2-40B4-BE49-F238E27FC236}">
              <a16:creationId xmlns:a16="http://schemas.microsoft.com/office/drawing/2014/main" id="{62C8F47E-4F14-4064-8B7C-D1DFEDEAD2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05751" y="1333500"/>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533401</xdr:colOff>
      <xdr:row>5</xdr:row>
      <xdr:rowOff>133351</xdr:rowOff>
    </xdr:from>
    <xdr:to>
      <xdr:col>6</xdr:col>
      <xdr:colOff>600075</xdr:colOff>
      <xdr:row>9</xdr:row>
      <xdr:rowOff>47625</xdr:rowOff>
    </xdr:to>
    <xdr:pic>
      <xdr:nvPicPr>
        <xdr:cNvPr id="4" name="Imagem 3" descr="Image result for emoji normal">
          <a:extLst>
            <a:ext uri="{FF2B5EF4-FFF2-40B4-BE49-F238E27FC236}">
              <a16:creationId xmlns:a16="http://schemas.microsoft.com/office/drawing/2014/main" id="{234A92F1-B2EF-4135-9A89-40D3784E872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05276" y="1314451"/>
          <a:ext cx="676274" cy="676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495300</xdr:colOff>
      <xdr:row>7</xdr:row>
      <xdr:rowOff>66675</xdr:rowOff>
    </xdr:from>
    <xdr:to>
      <xdr:col>18</xdr:col>
      <xdr:colOff>66675</xdr:colOff>
      <xdr:row>10</xdr:row>
      <xdr:rowOff>76200</xdr:rowOff>
    </xdr:to>
    <xdr:sp macro="" textlink="">
      <xdr:nvSpPr>
        <xdr:cNvPr id="5" name="Retângulo 4">
          <a:hlinkClick xmlns:r="http://schemas.openxmlformats.org/officeDocument/2006/relationships" r:id="rId4"/>
          <a:extLst>
            <a:ext uri="{FF2B5EF4-FFF2-40B4-BE49-F238E27FC236}">
              <a16:creationId xmlns:a16="http://schemas.microsoft.com/office/drawing/2014/main" id="{EBA9C045-D447-4BEA-B495-88B608FAD882}"/>
            </a:ext>
          </a:extLst>
        </xdr:cNvPr>
        <xdr:cNvSpPr/>
      </xdr:nvSpPr>
      <xdr:spPr>
        <a:xfrm>
          <a:off x="10163175" y="1628775"/>
          <a:ext cx="1400175" cy="581025"/>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Tipos de Fundos</a:t>
          </a:r>
        </a:p>
      </xdr:txBody>
    </xdr:sp>
    <xdr:clientData/>
  </xdr:twoCellAnchor>
  <xdr:twoCellAnchor>
    <xdr:from>
      <xdr:col>15</xdr:col>
      <xdr:colOff>495300</xdr:colOff>
      <xdr:row>11</xdr:row>
      <xdr:rowOff>19050</xdr:rowOff>
    </xdr:from>
    <xdr:to>
      <xdr:col>18</xdr:col>
      <xdr:colOff>66675</xdr:colOff>
      <xdr:row>13</xdr:row>
      <xdr:rowOff>133350</xdr:rowOff>
    </xdr:to>
    <xdr:sp macro="" textlink="">
      <xdr:nvSpPr>
        <xdr:cNvPr id="6" name="Retângulo 5">
          <a:hlinkClick xmlns:r="http://schemas.openxmlformats.org/officeDocument/2006/relationships" r:id="rId5"/>
          <a:extLst>
            <a:ext uri="{FF2B5EF4-FFF2-40B4-BE49-F238E27FC236}">
              <a16:creationId xmlns:a16="http://schemas.microsoft.com/office/drawing/2014/main" id="{7D8AE080-3A67-416D-9C6D-6A00E1E481EC}"/>
            </a:ext>
          </a:extLst>
        </xdr:cNvPr>
        <xdr:cNvSpPr/>
      </xdr:nvSpPr>
      <xdr:spPr>
        <a:xfrm>
          <a:off x="10163175" y="235267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FGC</a:t>
          </a:r>
        </a:p>
      </xdr:txBody>
    </xdr:sp>
    <xdr:clientData/>
  </xdr:twoCellAnchor>
  <xdr:twoCellAnchor>
    <xdr:from>
      <xdr:col>15</xdr:col>
      <xdr:colOff>495300</xdr:colOff>
      <xdr:row>14</xdr:row>
      <xdr:rowOff>76200</xdr:rowOff>
    </xdr:from>
    <xdr:to>
      <xdr:col>18</xdr:col>
      <xdr:colOff>66675</xdr:colOff>
      <xdr:row>17</xdr:row>
      <xdr:rowOff>85726</xdr:rowOff>
    </xdr:to>
    <xdr:sp macro="" textlink="">
      <xdr:nvSpPr>
        <xdr:cNvPr id="7" name="Retângulo 6">
          <a:hlinkClick xmlns:r="http://schemas.openxmlformats.org/officeDocument/2006/relationships" r:id="rId6"/>
          <a:extLst>
            <a:ext uri="{FF2B5EF4-FFF2-40B4-BE49-F238E27FC236}">
              <a16:creationId xmlns:a16="http://schemas.microsoft.com/office/drawing/2014/main" id="{11FA019D-8DC4-41F7-9A2F-9BA97AAA8EB7}"/>
            </a:ext>
          </a:extLst>
        </xdr:cNvPr>
        <xdr:cNvSpPr/>
      </xdr:nvSpPr>
      <xdr:spPr>
        <a:xfrm>
          <a:off x="10163175" y="3009900"/>
          <a:ext cx="1400175" cy="590551"/>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Divisão de</a:t>
          </a:r>
          <a:r>
            <a:rPr lang="pt-BR" sz="1500" b="1" baseline="0"/>
            <a:t> Carteira</a:t>
          </a:r>
          <a:endParaRPr lang="pt-BR" sz="1500" b="1"/>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171450</xdr:colOff>
      <xdr:row>4</xdr:row>
      <xdr:rowOff>104775</xdr:rowOff>
    </xdr:from>
    <xdr:to>
      <xdr:col>17</xdr:col>
      <xdr:colOff>361950</xdr:colOff>
      <xdr:row>7</xdr:row>
      <xdr:rowOff>38100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C3FD3FFE-F93B-4E9D-8923-509652CA2DB5}"/>
            </a:ext>
          </a:extLst>
        </xdr:cNvPr>
        <xdr:cNvSpPr/>
      </xdr:nvSpPr>
      <xdr:spPr>
        <a:xfrm>
          <a:off x="9734550" y="1085850"/>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4</xdr:col>
      <xdr:colOff>219075</xdr:colOff>
      <xdr:row>4</xdr:row>
      <xdr:rowOff>142875</xdr:rowOff>
    </xdr:from>
    <xdr:to>
      <xdr:col>6</xdr:col>
      <xdr:colOff>400050</xdr:colOff>
      <xdr:row>7</xdr:row>
      <xdr:rowOff>85725</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9AE3B881-6F8E-48CF-BFDF-BD546CE831B4}"/>
            </a:ext>
          </a:extLst>
        </xdr:cNvPr>
        <xdr:cNvSpPr/>
      </xdr:nvSpPr>
      <xdr:spPr>
        <a:xfrm>
          <a:off x="3076575" y="1123950"/>
          <a:ext cx="1400175" cy="514350"/>
        </a:xfrm>
        <a:prstGeom prst="rect">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Bloomberg</a:t>
          </a:r>
        </a:p>
      </xdr:txBody>
    </xdr:sp>
    <xdr:clientData/>
  </xdr:twoCellAnchor>
  <xdr:twoCellAnchor>
    <xdr:from>
      <xdr:col>4</xdr:col>
      <xdr:colOff>219075</xdr:colOff>
      <xdr:row>9</xdr:row>
      <xdr:rowOff>142875</xdr:rowOff>
    </xdr:from>
    <xdr:to>
      <xdr:col>6</xdr:col>
      <xdr:colOff>400050</xdr:colOff>
      <xdr:row>12</xdr:row>
      <xdr:rowOff>85725</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8617051E-22C9-434D-89B9-E254376BC6C6}"/>
            </a:ext>
          </a:extLst>
        </xdr:cNvPr>
        <xdr:cNvSpPr/>
      </xdr:nvSpPr>
      <xdr:spPr>
        <a:xfrm>
          <a:off x="3076575" y="2076450"/>
          <a:ext cx="1400175" cy="514350"/>
        </a:xfrm>
        <a:prstGeom prst="rect">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G1 Economia</a:t>
          </a:r>
        </a:p>
      </xdr:txBody>
    </xdr:sp>
    <xdr:clientData/>
  </xdr:twoCellAnchor>
  <xdr:twoCellAnchor>
    <xdr:from>
      <xdr:col>9</xdr:col>
      <xdr:colOff>447675</xdr:colOff>
      <xdr:row>14</xdr:row>
      <xdr:rowOff>114300</xdr:rowOff>
    </xdr:from>
    <xdr:to>
      <xdr:col>12</xdr:col>
      <xdr:colOff>19050</xdr:colOff>
      <xdr:row>17</xdr:row>
      <xdr:rowOff>57150</xdr:rowOff>
    </xdr:to>
    <xdr:sp macro="" textlink="">
      <xdr:nvSpPr>
        <xdr:cNvPr id="5" name="Retângulo 4">
          <a:hlinkClick xmlns:r="http://schemas.openxmlformats.org/officeDocument/2006/relationships" r:id="rId4"/>
          <a:extLst>
            <a:ext uri="{FF2B5EF4-FFF2-40B4-BE49-F238E27FC236}">
              <a16:creationId xmlns:a16="http://schemas.microsoft.com/office/drawing/2014/main" id="{E838C9F3-31A1-43BE-BBA1-32BC267D63FC}"/>
            </a:ext>
          </a:extLst>
        </xdr:cNvPr>
        <xdr:cNvSpPr/>
      </xdr:nvSpPr>
      <xdr:spPr>
        <a:xfrm>
          <a:off x="6353175" y="3000375"/>
          <a:ext cx="1400175" cy="514350"/>
        </a:xfrm>
        <a:prstGeom prst="rect">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Uol Economia</a:t>
          </a:r>
        </a:p>
      </xdr:txBody>
    </xdr:sp>
    <xdr:clientData/>
  </xdr:twoCellAnchor>
  <xdr:twoCellAnchor>
    <xdr:from>
      <xdr:col>7</xdr:col>
      <xdr:colOff>38100</xdr:colOff>
      <xdr:row>14</xdr:row>
      <xdr:rowOff>114300</xdr:rowOff>
    </xdr:from>
    <xdr:to>
      <xdr:col>9</xdr:col>
      <xdr:colOff>219075</xdr:colOff>
      <xdr:row>17</xdr:row>
      <xdr:rowOff>57150</xdr:rowOff>
    </xdr:to>
    <xdr:sp macro="" textlink="">
      <xdr:nvSpPr>
        <xdr:cNvPr id="6" name="Retângulo 5">
          <a:hlinkClick xmlns:r="http://schemas.openxmlformats.org/officeDocument/2006/relationships" r:id="rId5"/>
          <a:extLst>
            <a:ext uri="{FF2B5EF4-FFF2-40B4-BE49-F238E27FC236}">
              <a16:creationId xmlns:a16="http://schemas.microsoft.com/office/drawing/2014/main" id="{657BEE11-DFCD-4882-9375-FBC8F69487C8}"/>
            </a:ext>
          </a:extLst>
        </xdr:cNvPr>
        <xdr:cNvSpPr/>
      </xdr:nvSpPr>
      <xdr:spPr>
        <a:xfrm>
          <a:off x="4724400" y="3000375"/>
          <a:ext cx="1400175" cy="514350"/>
        </a:xfrm>
        <a:prstGeom prst="rect">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Reuters</a:t>
          </a:r>
        </a:p>
      </xdr:txBody>
    </xdr:sp>
    <xdr:clientData/>
  </xdr:twoCellAnchor>
  <xdr:twoCellAnchor>
    <xdr:from>
      <xdr:col>7</xdr:col>
      <xdr:colOff>38100</xdr:colOff>
      <xdr:row>4</xdr:row>
      <xdr:rowOff>142875</xdr:rowOff>
    </xdr:from>
    <xdr:to>
      <xdr:col>9</xdr:col>
      <xdr:colOff>219075</xdr:colOff>
      <xdr:row>7</xdr:row>
      <xdr:rowOff>85725</xdr:rowOff>
    </xdr:to>
    <xdr:sp macro="" textlink="">
      <xdr:nvSpPr>
        <xdr:cNvPr id="7" name="Retângulo 6">
          <a:hlinkClick xmlns:r="http://schemas.openxmlformats.org/officeDocument/2006/relationships" r:id="rId6"/>
          <a:extLst>
            <a:ext uri="{FF2B5EF4-FFF2-40B4-BE49-F238E27FC236}">
              <a16:creationId xmlns:a16="http://schemas.microsoft.com/office/drawing/2014/main" id="{64FF79C1-958B-492B-AF4C-A67BC92171D4}"/>
            </a:ext>
          </a:extLst>
        </xdr:cNvPr>
        <xdr:cNvSpPr/>
      </xdr:nvSpPr>
      <xdr:spPr>
        <a:xfrm>
          <a:off x="4724400" y="1123950"/>
          <a:ext cx="1400175" cy="514350"/>
        </a:xfrm>
        <a:prstGeom prst="rect">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Bloomberg BR</a:t>
          </a:r>
        </a:p>
      </xdr:txBody>
    </xdr:sp>
    <xdr:clientData/>
  </xdr:twoCellAnchor>
  <xdr:twoCellAnchor>
    <xdr:from>
      <xdr:col>12</xdr:col>
      <xdr:colOff>238125</xdr:colOff>
      <xdr:row>14</xdr:row>
      <xdr:rowOff>104775</xdr:rowOff>
    </xdr:from>
    <xdr:to>
      <xdr:col>14</xdr:col>
      <xdr:colOff>419100</xdr:colOff>
      <xdr:row>17</xdr:row>
      <xdr:rowOff>47625</xdr:rowOff>
    </xdr:to>
    <xdr:sp macro="" textlink="">
      <xdr:nvSpPr>
        <xdr:cNvPr id="8" name="Retângulo 7">
          <a:hlinkClick xmlns:r="http://schemas.openxmlformats.org/officeDocument/2006/relationships" r:id="rId7"/>
          <a:extLst>
            <a:ext uri="{FF2B5EF4-FFF2-40B4-BE49-F238E27FC236}">
              <a16:creationId xmlns:a16="http://schemas.microsoft.com/office/drawing/2014/main" id="{6749E912-C650-473D-BCA8-96D0F49D23FF}"/>
            </a:ext>
          </a:extLst>
        </xdr:cNvPr>
        <xdr:cNvSpPr/>
      </xdr:nvSpPr>
      <xdr:spPr>
        <a:xfrm>
          <a:off x="7972425" y="2990850"/>
          <a:ext cx="1400175" cy="514350"/>
        </a:xfrm>
        <a:prstGeom prst="rect">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WSJ</a:t>
          </a:r>
        </a:p>
      </xdr:txBody>
    </xdr:sp>
    <xdr:clientData/>
  </xdr:twoCellAnchor>
  <xdr:twoCellAnchor>
    <xdr:from>
      <xdr:col>9</xdr:col>
      <xdr:colOff>447675</xdr:colOff>
      <xdr:row>4</xdr:row>
      <xdr:rowOff>142875</xdr:rowOff>
    </xdr:from>
    <xdr:to>
      <xdr:col>12</xdr:col>
      <xdr:colOff>19050</xdr:colOff>
      <xdr:row>7</xdr:row>
      <xdr:rowOff>85725</xdr:rowOff>
    </xdr:to>
    <xdr:sp macro="" textlink="">
      <xdr:nvSpPr>
        <xdr:cNvPr id="9" name="Retângulo 8">
          <a:hlinkClick xmlns:r="http://schemas.openxmlformats.org/officeDocument/2006/relationships" r:id="rId8"/>
          <a:extLst>
            <a:ext uri="{FF2B5EF4-FFF2-40B4-BE49-F238E27FC236}">
              <a16:creationId xmlns:a16="http://schemas.microsoft.com/office/drawing/2014/main" id="{AE653394-AC10-4F74-9E03-29DF3CE3C7C3}"/>
            </a:ext>
          </a:extLst>
        </xdr:cNvPr>
        <xdr:cNvSpPr/>
      </xdr:nvSpPr>
      <xdr:spPr>
        <a:xfrm>
          <a:off x="6353175" y="1123950"/>
          <a:ext cx="1400175" cy="514350"/>
        </a:xfrm>
        <a:prstGeom prst="rect">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El Financiero</a:t>
          </a:r>
        </a:p>
      </xdr:txBody>
    </xdr:sp>
    <xdr:clientData/>
  </xdr:twoCellAnchor>
  <xdr:twoCellAnchor>
    <xdr:from>
      <xdr:col>12</xdr:col>
      <xdr:colOff>238125</xdr:colOff>
      <xdr:row>9</xdr:row>
      <xdr:rowOff>114300</xdr:rowOff>
    </xdr:from>
    <xdr:to>
      <xdr:col>14</xdr:col>
      <xdr:colOff>419100</xdr:colOff>
      <xdr:row>12</xdr:row>
      <xdr:rowOff>57150</xdr:rowOff>
    </xdr:to>
    <xdr:sp macro="" textlink="">
      <xdr:nvSpPr>
        <xdr:cNvPr id="10" name="Retângulo 9">
          <a:hlinkClick xmlns:r="http://schemas.openxmlformats.org/officeDocument/2006/relationships" r:id="rId9"/>
          <a:extLst>
            <a:ext uri="{FF2B5EF4-FFF2-40B4-BE49-F238E27FC236}">
              <a16:creationId xmlns:a16="http://schemas.microsoft.com/office/drawing/2014/main" id="{89F467C5-1286-47D7-A1A9-339BD68E8EED}"/>
            </a:ext>
          </a:extLst>
        </xdr:cNvPr>
        <xdr:cNvSpPr/>
      </xdr:nvSpPr>
      <xdr:spPr>
        <a:xfrm>
          <a:off x="7972425" y="2047875"/>
          <a:ext cx="1400175" cy="514350"/>
        </a:xfrm>
        <a:prstGeom prst="rect">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Le Monde</a:t>
          </a:r>
        </a:p>
      </xdr:txBody>
    </xdr:sp>
    <xdr:clientData/>
  </xdr:twoCellAnchor>
  <xdr:twoCellAnchor>
    <xdr:from>
      <xdr:col>9</xdr:col>
      <xdr:colOff>447675</xdr:colOff>
      <xdr:row>9</xdr:row>
      <xdr:rowOff>123825</xdr:rowOff>
    </xdr:from>
    <xdr:to>
      <xdr:col>12</xdr:col>
      <xdr:colOff>19050</xdr:colOff>
      <xdr:row>12</xdr:row>
      <xdr:rowOff>66675</xdr:rowOff>
    </xdr:to>
    <xdr:sp macro="" textlink="">
      <xdr:nvSpPr>
        <xdr:cNvPr id="11" name="Retângulo 10">
          <a:hlinkClick xmlns:r="http://schemas.openxmlformats.org/officeDocument/2006/relationships" r:id="rId10"/>
          <a:extLst>
            <a:ext uri="{FF2B5EF4-FFF2-40B4-BE49-F238E27FC236}">
              <a16:creationId xmlns:a16="http://schemas.microsoft.com/office/drawing/2014/main" id="{450D2559-9235-4908-8F52-FBC0AB40A47A}"/>
            </a:ext>
          </a:extLst>
        </xdr:cNvPr>
        <xdr:cNvSpPr/>
      </xdr:nvSpPr>
      <xdr:spPr>
        <a:xfrm>
          <a:off x="6353175" y="2057400"/>
          <a:ext cx="1400175" cy="514350"/>
        </a:xfrm>
        <a:prstGeom prst="rect">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Infomoney</a:t>
          </a:r>
        </a:p>
      </xdr:txBody>
    </xdr:sp>
    <xdr:clientData/>
  </xdr:twoCellAnchor>
  <xdr:twoCellAnchor>
    <xdr:from>
      <xdr:col>4</xdr:col>
      <xdr:colOff>219075</xdr:colOff>
      <xdr:row>14</xdr:row>
      <xdr:rowOff>114300</xdr:rowOff>
    </xdr:from>
    <xdr:to>
      <xdr:col>6</xdr:col>
      <xdr:colOff>400050</xdr:colOff>
      <xdr:row>17</xdr:row>
      <xdr:rowOff>57150</xdr:rowOff>
    </xdr:to>
    <xdr:sp macro="" textlink="">
      <xdr:nvSpPr>
        <xdr:cNvPr id="12" name="Retângulo 11">
          <a:hlinkClick xmlns:r="http://schemas.openxmlformats.org/officeDocument/2006/relationships" r:id="rId11"/>
          <a:extLst>
            <a:ext uri="{FF2B5EF4-FFF2-40B4-BE49-F238E27FC236}">
              <a16:creationId xmlns:a16="http://schemas.microsoft.com/office/drawing/2014/main" id="{854C9529-B707-47FD-842A-9A9AAC166E88}"/>
            </a:ext>
          </a:extLst>
        </xdr:cNvPr>
        <xdr:cNvSpPr/>
      </xdr:nvSpPr>
      <xdr:spPr>
        <a:xfrm>
          <a:off x="3076575" y="3000375"/>
          <a:ext cx="1400175" cy="514350"/>
        </a:xfrm>
        <a:prstGeom prst="rect">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NY Times</a:t>
          </a:r>
        </a:p>
      </xdr:txBody>
    </xdr:sp>
    <xdr:clientData/>
  </xdr:twoCellAnchor>
  <xdr:twoCellAnchor>
    <xdr:from>
      <xdr:col>7</xdr:col>
      <xdr:colOff>38100</xdr:colOff>
      <xdr:row>9</xdr:row>
      <xdr:rowOff>133350</xdr:rowOff>
    </xdr:from>
    <xdr:to>
      <xdr:col>9</xdr:col>
      <xdr:colOff>219075</xdr:colOff>
      <xdr:row>12</xdr:row>
      <xdr:rowOff>76200</xdr:rowOff>
    </xdr:to>
    <xdr:sp macro="" textlink="">
      <xdr:nvSpPr>
        <xdr:cNvPr id="13" name="Retângulo 12">
          <a:hlinkClick xmlns:r="http://schemas.openxmlformats.org/officeDocument/2006/relationships" r:id="rId12"/>
          <a:extLst>
            <a:ext uri="{FF2B5EF4-FFF2-40B4-BE49-F238E27FC236}">
              <a16:creationId xmlns:a16="http://schemas.microsoft.com/office/drawing/2014/main" id="{91A0EB78-1688-490A-9631-7712DB7C3D6A}"/>
            </a:ext>
          </a:extLst>
        </xdr:cNvPr>
        <xdr:cNvSpPr/>
      </xdr:nvSpPr>
      <xdr:spPr>
        <a:xfrm>
          <a:off x="4724400" y="2066925"/>
          <a:ext cx="1400175" cy="514350"/>
        </a:xfrm>
        <a:prstGeom prst="rect">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Globo</a:t>
          </a:r>
        </a:p>
      </xdr:txBody>
    </xdr:sp>
    <xdr:clientData/>
  </xdr:twoCellAnchor>
  <xdr:twoCellAnchor>
    <xdr:from>
      <xdr:col>12</xdr:col>
      <xdr:colOff>238125</xdr:colOff>
      <xdr:row>4</xdr:row>
      <xdr:rowOff>133350</xdr:rowOff>
    </xdr:from>
    <xdr:to>
      <xdr:col>14</xdr:col>
      <xdr:colOff>419100</xdr:colOff>
      <xdr:row>7</xdr:row>
      <xdr:rowOff>76200</xdr:rowOff>
    </xdr:to>
    <xdr:sp macro="" textlink="">
      <xdr:nvSpPr>
        <xdr:cNvPr id="14" name="Retângulo 13">
          <a:hlinkClick xmlns:r="http://schemas.openxmlformats.org/officeDocument/2006/relationships" r:id="rId13"/>
          <a:extLst>
            <a:ext uri="{FF2B5EF4-FFF2-40B4-BE49-F238E27FC236}">
              <a16:creationId xmlns:a16="http://schemas.microsoft.com/office/drawing/2014/main" id="{C4292532-DAC9-4B10-896C-58A18BD3AD7D}"/>
            </a:ext>
          </a:extLst>
        </xdr:cNvPr>
        <xdr:cNvSpPr/>
      </xdr:nvSpPr>
      <xdr:spPr>
        <a:xfrm>
          <a:off x="7972425" y="1114425"/>
          <a:ext cx="1400175" cy="514350"/>
        </a:xfrm>
        <a:prstGeom prst="rect">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Financial Times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16</xdr:col>
      <xdr:colOff>200025</xdr:colOff>
      <xdr:row>3</xdr:row>
      <xdr:rowOff>180975</xdr:rowOff>
    </xdr:from>
    <xdr:to>
      <xdr:col>18</xdr:col>
      <xdr:colOff>390525</xdr:colOff>
      <xdr:row>6</xdr:row>
      <xdr:rowOff>104775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6CF8BE7C-5451-4D07-A860-29DB2A11B79E}"/>
            </a:ext>
          </a:extLst>
        </xdr:cNvPr>
        <xdr:cNvSpPr/>
      </xdr:nvSpPr>
      <xdr:spPr>
        <a:xfrm>
          <a:off x="10963275" y="971550"/>
          <a:ext cx="1409700" cy="514350"/>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16</xdr:col>
      <xdr:colOff>200025</xdr:colOff>
      <xdr:row>7</xdr:row>
      <xdr:rowOff>38100</xdr:rowOff>
    </xdr:from>
    <xdr:to>
      <xdr:col>18</xdr:col>
      <xdr:colOff>381000</xdr:colOff>
      <xdr:row>9</xdr:row>
      <xdr:rowOff>161925</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FF11D355-F619-4C51-9FFE-169C1513FC0A}"/>
            </a:ext>
          </a:extLst>
        </xdr:cNvPr>
        <xdr:cNvSpPr/>
      </xdr:nvSpPr>
      <xdr:spPr>
        <a:xfrm>
          <a:off x="10868025" y="161925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Taxas</a:t>
          </a:r>
        </a:p>
      </xdr:txBody>
    </xdr:sp>
    <xdr:clientData/>
  </xdr:twoCellAnchor>
  <xdr:twoCellAnchor>
    <xdr:from>
      <xdr:col>16</xdr:col>
      <xdr:colOff>200025</xdr:colOff>
      <xdr:row>10</xdr:row>
      <xdr:rowOff>76200</xdr:rowOff>
    </xdr:from>
    <xdr:to>
      <xdr:col>18</xdr:col>
      <xdr:colOff>381000</xdr:colOff>
      <xdr:row>13</xdr:row>
      <xdr:rowOff>0</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6E1D3767-8586-4426-BC72-E7B31C2A51D3}"/>
            </a:ext>
          </a:extLst>
        </xdr:cNvPr>
        <xdr:cNvSpPr/>
      </xdr:nvSpPr>
      <xdr:spPr>
        <a:xfrm>
          <a:off x="10868025" y="224790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Cálculos Finan.</a:t>
          </a:r>
        </a:p>
      </xdr:txBody>
    </xdr:sp>
    <xdr:clientData/>
  </xdr:twoCellAnchor>
  <xdr:twoCellAnchor>
    <xdr:from>
      <xdr:col>16</xdr:col>
      <xdr:colOff>200025</xdr:colOff>
      <xdr:row>13</xdr:row>
      <xdr:rowOff>114300</xdr:rowOff>
    </xdr:from>
    <xdr:to>
      <xdr:col>18</xdr:col>
      <xdr:colOff>381000</xdr:colOff>
      <xdr:row>16</xdr:row>
      <xdr:rowOff>38100</xdr:rowOff>
    </xdr:to>
    <xdr:sp macro="" textlink="">
      <xdr:nvSpPr>
        <xdr:cNvPr id="5" name="Retângulo 4">
          <a:hlinkClick xmlns:r="http://schemas.openxmlformats.org/officeDocument/2006/relationships" r:id="rId4"/>
          <a:extLst>
            <a:ext uri="{FF2B5EF4-FFF2-40B4-BE49-F238E27FC236}">
              <a16:creationId xmlns:a16="http://schemas.microsoft.com/office/drawing/2014/main" id="{3DF436F0-8485-43BB-9E97-1BEA7DE9D078}"/>
            </a:ext>
          </a:extLst>
        </xdr:cNvPr>
        <xdr:cNvSpPr/>
      </xdr:nvSpPr>
      <xdr:spPr>
        <a:xfrm>
          <a:off x="10868025" y="287655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 do CDI</a:t>
          </a:r>
        </a:p>
      </xdr:txBody>
    </xdr:sp>
    <xdr:clientData/>
  </xdr:twoCellAnchor>
  <xdr:twoCellAnchor>
    <xdr:from>
      <xdr:col>16</xdr:col>
      <xdr:colOff>190500</xdr:colOff>
      <xdr:row>16</xdr:row>
      <xdr:rowOff>152400</xdr:rowOff>
    </xdr:from>
    <xdr:to>
      <xdr:col>18</xdr:col>
      <xdr:colOff>371475</xdr:colOff>
      <xdr:row>19</xdr:row>
      <xdr:rowOff>66675</xdr:rowOff>
    </xdr:to>
    <xdr:sp macro="" textlink="">
      <xdr:nvSpPr>
        <xdr:cNvPr id="7" name="Retângulo 6">
          <a:hlinkClick xmlns:r="http://schemas.openxmlformats.org/officeDocument/2006/relationships" r:id="rId5"/>
          <a:extLst>
            <a:ext uri="{FF2B5EF4-FFF2-40B4-BE49-F238E27FC236}">
              <a16:creationId xmlns:a16="http://schemas.microsoft.com/office/drawing/2014/main" id="{69708BAA-C654-4D7F-969F-596D494695DA}"/>
            </a:ext>
          </a:extLst>
        </xdr:cNvPr>
        <xdr:cNvSpPr/>
      </xdr:nvSpPr>
      <xdr:spPr>
        <a:xfrm>
          <a:off x="10858500" y="350520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Tabela de IR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238125</xdr:colOff>
      <xdr:row>6</xdr:row>
      <xdr:rowOff>0</xdr:rowOff>
    </xdr:from>
    <xdr:to>
      <xdr:col>18</xdr:col>
      <xdr:colOff>428625</xdr:colOff>
      <xdr:row>8</xdr:row>
      <xdr:rowOff>104775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622DB939-C7AF-4E51-AE59-A6F34EAB7C61}"/>
            </a:ext>
          </a:extLst>
        </xdr:cNvPr>
        <xdr:cNvSpPr/>
      </xdr:nvSpPr>
      <xdr:spPr>
        <a:xfrm>
          <a:off x="10525125" y="1371600"/>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16</xdr:col>
      <xdr:colOff>247650</xdr:colOff>
      <xdr:row>9</xdr:row>
      <xdr:rowOff>76199</xdr:rowOff>
    </xdr:from>
    <xdr:to>
      <xdr:col>18</xdr:col>
      <xdr:colOff>428625</xdr:colOff>
      <xdr:row>12</xdr:row>
      <xdr:rowOff>66675</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94BA0BCB-DB2E-45D4-94C1-11A88F73D208}"/>
            </a:ext>
          </a:extLst>
        </xdr:cNvPr>
        <xdr:cNvSpPr/>
      </xdr:nvSpPr>
      <xdr:spPr>
        <a:xfrm>
          <a:off x="10534650" y="2038349"/>
          <a:ext cx="1400175" cy="590551"/>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Divisão de</a:t>
          </a:r>
          <a:r>
            <a:rPr lang="pt-BR" sz="1500" b="1" baseline="0"/>
            <a:t> Carteira</a:t>
          </a:r>
          <a:endParaRPr lang="pt-BR" sz="1500" b="1"/>
        </a:p>
      </xdr:txBody>
    </xdr:sp>
    <xdr:clientData/>
  </xdr:twoCellAnchor>
  <xdr:twoCellAnchor>
    <xdr:from>
      <xdr:col>16</xdr:col>
      <xdr:colOff>247650</xdr:colOff>
      <xdr:row>13</xdr:row>
      <xdr:rowOff>9524</xdr:rowOff>
    </xdr:from>
    <xdr:to>
      <xdr:col>18</xdr:col>
      <xdr:colOff>428625</xdr:colOff>
      <xdr:row>16</xdr:row>
      <xdr:rowOff>0</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CC69D79B-6E12-49E1-BCCA-C904BBFE0930}"/>
            </a:ext>
          </a:extLst>
        </xdr:cNvPr>
        <xdr:cNvSpPr/>
      </xdr:nvSpPr>
      <xdr:spPr>
        <a:xfrm>
          <a:off x="10534650" y="2771774"/>
          <a:ext cx="1400175" cy="590551"/>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Tipos de Fundos</a:t>
          </a:r>
        </a:p>
      </xdr:txBody>
    </xdr:sp>
    <xdr:clientData/>
  </xdr:twoCellAnchor>
  <xdr:twoCellAnchor>
    <xdr:from>
      <xdr:col>16</xdr:col>
      <xdr:colOff>238125</xdr:colOff>
      <xdr:row>16</xdr:row>
      <xdr:rowOff>133350</xdr:rowOff>
    </xdr:from>
    <xdr:to>
      <xdr:col>18</xdr:col>
      <xdr:colOff>419100</xdr:colOff>
      <xdr:row>19</xdr:row>
      <xdr:rowOff>133351</xdr:rowOff>
    </xdr:to>
    <xdr:sp macro="" textlink="">
      <xdr:nvSpPr>
        <xdr:cNvPr id="5" name="Retângulo 4">
          <a:hlinkClick xmlns:r="http://schemas.openxmlformats.org/officeDocument/2006/relationships" r:id="rId4"/>
          <a:extLst>
            <a:ext uri="{FF2B5EF4-FFF2-40B4-BE49-F238E27FC236}">
              <a16:creationId xmlns:a16="http://schemas.microsoft.com/office/drawing/2014/main" id="{2EA8C3C9-A6AD-4E96-8908-DED1FD960CE1}"/>
            </a:ext>
          </a:extLst>
        </xdr:cNvPr>
        <xdr:cNvSpPr/>
      </xdr:nvSpPr>
      <xdr:spPr>
        <a:xfrm>
          <a:off x="10525125" y="3495675"/>
          <a:ext cx="1400175" cy="590551"/>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Sharpe da</a:t>
          </a:r>
          <a:r>
            <a:rPr lang="pt-BR" sz="1500" b="1" baseline="0"/>
            <a:t> Carteira</a:t>
          </a:r>
          <a:endParaRPr lang="pt-BR" sz="1500" b="1"/>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17</xdr:col>
      <xdr:colOff>19050</xdr:colOff>
      <xdr:row>3</xdr:row>
      <xdr:rowOff>142875</xdr:rowOff>
    </xdr:from>
    <xdr:to>
      <xdr:col>19</xdr:col>
      <xdr:colOff>209550</xdr:colOff>
      <xdr:row>6</xdr:row>
      <xdr:rowOff>76200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945DBDA4-6F2E-4A70-82BF-119FB899CC9F}"/>
            </a:ext>
          </a:extLst>
        </xdr:cNvPr>
        <xdr:cNvSpPr/>
      </xdr:nvSpPr>
      <xdr:spPr>
        <a:xfrm>
          <a:off x="10801350" y="933450"/>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editAs="oneCell">
    <xdr:from>
      <xdr:col>1</xdr:col>
      <xdr:colOff>57150</xdr:colOff>
      <xdr:row>3</xdr:row>
      <xdr:rowOff>114300</xdr:rowOff>
    </xdr:from>
    <xdr:to>
      <xdr:col>16</xdr:col>
      <xdr:colOff>552450</xdr:colOff>
      <xdr:row>28</xdr:row>
      <xdr:rowOff>180975</xdr:rowOff>
    </xdr:to>
    <xdr:pic>
      <xdr:nvPicPr>
        <xdr:cNvPr id="3" name="Imagem 2">
          <a:extLst>
            <a:ext uri="{FF2B5EF4-FFF2-40B4-BE49-F238E27FC236}">
              <a16:creationId xmlns:a16="http://schemas.microsoft.com/office/drawing/2014/main" id="{D5228DB5-4A8C-4101-BD9C-5B3F5B6420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 y="904875"/>
          <a:ext cx="9953625" cy="482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28</xdr:row>
      <xdr:rowOff>171450</xdr:rowOff>
    </xdr:from>
    <xdr:to>
      <xdr:col>16</xdr:col>
      <xdr:colOff>552450</xdr:colOff>
      <xdr:row>41</xdr:row>
      <xdr:rowOff>142875</xdr:rowOff>
    </xdr:to>
    <xdr:pic>
      <xdr:nvPicPr>
        <xdr:cNvPr id="4" name="Imagem 3">
          <a:extLst>
            <a:ext uri="{FF2B5EF4-FFF2-40B4-BE49-F238E27FC236}">
              <a16:creationId xmlns:a16="http://schemas.microsoft.com/office/drawing/2014/main" id="{00870591-FC8E-447C-ADE7-7790B556EA1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0100" y="5724525"/>
          <a:ext cx="9925050"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41</xdr:row>
      <xdr:rowOff>161925</xdr:rowOff>
    </xdr:from>
    <xdr:to>
      <xdr:col>16</xdr:col>
      <xdr:colOff>523875</xdr:colOff>
      <xdr:row>60</xdr:row>
      <xdr:rowOff>123825</xdr:rowOff>
    </xdr:to>
    <xdr:pic>
      <xdr:nvPicPr>
        <xdr:cNvPr id="5" name="Imagem 4">
          <a:extLst>
            <a:ext uri="{FF2B5EF4-FFF2-40B4-BE49-F238E27FC236}">
              <a16:creationId xmlns:a16="http://schemas.microsoft.com/office/drawing/2014/main" id="{4712C6C2-60C2-4301-B170-903D02CF356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9625" y="8191500"/>
          <a:ext cx="9886950" cy="358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60</xdr:row>
      <xdr:rowOff>123825</xdr:rowOff>
    </xdr:from>
    <xdr:to>
      <xdr:col>16</xdr:col>
      <xdr:colOff>552450</xdr:colOff>
      <xdr:row>82</xdr:row>
      <xdr:rowOff>76200</xdr:rowOff>
    </xdr:to>
    <xdr:pic>
      <xdr:nvPicPr>
        <xdr:cNvPr id="6" name="Imagem 5">
          <a:extLst>
            <a:ext uri="{FF2B5EF4-FFF2-40B4-BE49-F238E27FC236}">
              <a16:creationId xmlns:a16="http://schemas.microsoft.com/office/drawing/2014/main" id="{497453FC-D528-4C35-8B4D-43FF19DFA8A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0575" y="11772900"/>
          <a:ext cx="9934575" cy="414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28575</xdr:colOff>
      <xdr:row>7</xdr:row>
      <xdr:rowOff>19050</xdr:rowOff>
    </xdr:from>
    <xdr:to>
      <xdr:col>19</xdr:col>
      <xdr:colOff>209550</xdr:colOff>
      <xdr:row>9</xdr:row>
      <xdr:rowOff>152400</xdr:rowOff>
    </xdr:to>
    <xdr:sp macro="" textlink="">
      <xdr:nvSpPr>
        <xdr:cNvPr id="7" name="Retângulo 6">
          <a:hlinkClick xmlns:r="http://schemas.openxmlformats.org/officeDocument/2006/relationships" r:id="rId6"/>
          <a:extLst>
            <a:ext uri="{FF2B5EF4-FFF2-40B4-BE49-F238E27FC236}">
              <a16:creationId xmlns:a16="http://schemas.microsoft.com/office/drawing/2014/main" id="{A35DCB94-F1E5-41BA-A98A-13E3765A810D}"/>
            </a:ext>
          </a:extLst>
        </xdr:cNvPr>
        <xdr:cNvSpPr/>
      </xdr:nvSpPr>
      <xdr:spPr>
        <a:xfrm>
          <a:off x="10906125" y="157162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Tabela de IR</a:t>
          </a:r>
        </a:p>
      </xdr:txBody>
    </xdr:sp>
    <xdr:clientData/>
  </xdr:twoCellAnchor>
  <xdr:twoCellAnchor>
    <xdr:from>
      <xdr:col>17</xdr:col>
      <xdr:colOff>28575</xdr:colOff>
      <xdr:row>10</xdr:row>
      <xdr:rowOff>85725</xdr:rowOff>
    </xdr:from>
    <xdr:to>
      <xdr:col>19</xdr:col>
      <xdr:colOff>209550</xdr:colOff>
      <xdr:row>13</xdr:row>
      <xdr:rowOff>28575</xdr:rowOff>
    </xdr:to>
    <xdr:sp macro="" textlink="">
      <xdr:nvSpPr>
        <xdr:cNvPr id="8" name="Retângulo 7">
          <a:hlinkClick xmlns:r="http://schemas.openxmlformats.org/officeDocument/2006/relationships" r:id="rId7"/>
          <a:extLst>
            <a:ext uri="{FF2B5EF4-FFF2-40B4-BE49-F238E27FC236}">
              <a16:creationId xmlns:a16="http://schemas.microsoft.com/office/drawing/2014/main" id="{8A23167D-5EDB-4411-ADF8-3FF92AF15BA6}"/>
            </a:ext>
          </a:extLst>
        </xdr:cNvPr>
        <xdr:cNvSpPr/>
      </xdr:nvSpPr>
      <xdr:spPr>
        <a:xfrm>
          <a:off x="10906125" y="220980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IOF</a:t>
          </a:r>
        </a:p>
      </xdr:txBody>
    </xdr:sp>
    <xdr:clientData/>
  </xdr:twoCellAnchor>
  <xdr:twoCellAnchor>
    <xdr:from>
      <xdr:col>17</xdr:col>
      <xdr:colOff>28575</xdr:colOff>
      <xdr:row>13</xdr:row>
      <xdr:rowOff>161924</xdr:rowOff>
    </xdr:from>
    <xdr:to>
      <xdr:col>19</xdr:col>
      <xdr:colOff>209550</xdr:colOff>
      <xdr:row>16</xdr:row>
      <xdr:rowOff>171449</xdr:rowOff>
    </xdr:to>
    <xdr:sp macro="" textlink="">
      <xdr:nvSpPr>
        <xdr:cNvPr id="9" name="Retângulo 8">
          <a:hlinkClick xmlns:r="http://schemas.openxmlformats.org/officeDocument/2006/relationships" r:id="rId8"/>
          <a:extLst>
            <a:ext uri="{FF2B5EF4-FFF2-40B4-BE49-F238E27FC236}">
              <a16:creationId xmlns:a16="http://schemas.microsoft.com/office/drawing/2014/main" id="{AD614766-366D-49E3-8DA6-350DFA3C3BA8}"/>
            </a:ext>
          </a:extLst>
        </xdr:cNvPr>
        <xdr:cNvSpPr/>
      </xdr:nvSpPr>
      <xdr:spPr>
        <a:xfrm>
          <a:off x="10906125" y="2857499"/>
          <a:ext cx="1400175" cy="581025"/>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IR no Rendimento</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447675</xdr:colOff>
      <xdr:row>3</xdr:row>
      <xdr:rowOff>180975</xdr:rowOff>
    </xdr:from>
    <xdr:to>
      <xdr:col>16</xdr:col>
      <xdr:colOff>28575</xdr:colOff>
      <xdr:row>6</xdr:row>
      <xdr:rowOff>114300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D3FE4C2A-C2AA-470F-80B2-222FE4D8CB59}"/>
            </a:ext>
          </a:extLst>
        </xdr:cNvPr>
        <xdr:cNvSpPr/>
      </xdr:nvSpPr>
      <xdr:spPr>
        <a:xfrm>
          <a:off x="8791575" y="971550"/>
          <a:ext cx="1409700" cy="514350"/>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13</xdr:col>
      <xdr:colOff>447675</xdr:colOff>
      <xdr:row>7</xdr:row>
      <xdr:rowOff>66675</xdr:rowOff>
    </xdr:from>
    <xdr:to>
      <xdr:col>16</xdr:col>
      <xdr:colOff>19050</xdr:colOff>
      <xdr:row>9</xdr:row>
      <xdr:rowOff>180975</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FA935F85-8E67-4D20-AF98-803D80BC5E0B}"/>
            </a:ext>
          </a:extLst>
        </xdr:cNvPr>
        <xdr:cNvSpPr/>
      </xdr:nvSpPr>
      <xdr:spPr>
        <a:xfrm>
          <a:off x="8791575" y="163830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Taxas</a:t>
          </a:r>
        </a:p>
      </xdr:txBody>
    </xdr:sp>
    <xdr:clientData/>
  </xdr:twoCellAnchor>
  <xdr:twoCellAnchor>
    <xdr:from>
      <xdr:col>13</xdr:col>
      <xdr:colOff>447675</xdr:colOff>
      <xdr:row>10</xdr:row>
      <xdr:rowOff>104775</xdr:rowOff>
    </xdr:from>
    <xdr:to>
      <xdr:col>16</xdr:col>
      <xdr:colOff>19050</xdr:colOff>
      <xdr:row>13</xdr:row>
      <xdr:rowOff>28575</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0FDF1406-A4C5-4CB3-9142-83D9905C7FF5}"/>
            </a:ext>
          </a:extLst>
        </xdr:cNvPr>
        <xdr:cNvSpPr/>
      </xdr:nvSpPr>
      <xdr:spPr>
        <a:xfrm>
          <a:off x="8791575" y="226695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Cálculos Finan.</a:t>
          </a:r>
        </a:p>
      </xdr:txBody>
    </xdr:sp>
    <xdr:clientData/>
  </xdr:twoCellAnchor>
  <xdr:twoCellAnchor>
    <xdr:from>
      <xdr:col>13</xdr:col>
      <xdr:colOff>447675</xdr:colOff>
      <xdr:row>13</xdr:row>
      <xdr:rowOff>142875</xdr:rowOff>
    </xdr:from>
    <xdr:to>
      <xdr:col>16</xdr:col>
      <xdr:colOff>19050</xdr:colOff>
      <xdr:row>16</xdr:row>
      <xdr:rowOff>66675</xdr:rowOff>
    </xdr:to>
    <xdr:sp macro="" textlink="">
      <xdr:nvSpPr>
        <xdr:cNvPr id="5" name="Retângulo 4">
          <a:hlinkClick xmlns:r="http://schemas.openxmlformats.org/officeDocument/2006/relationships" r:id="rId4"/>
          <a:extLst>
            <a:ext uri="{FF2B5EF4-FFF2-40B4-BE49-F238E27FC236}">
              <a16:creationId xmlns:a16="http://schemas.microsoft.com/office/drawing/2014/main" id="{1D41289B-C91A-4D96-9CDF-424C65412B35}"/>
            </a:ext>
          </a:extLst>
        </xdr:cNvPr>
        <xdr:cNvSpPr/>
      </xdr:nvSpPr>
      <xdr:spPr>
        <a:xfrm>
          <a:off x="8791575" y="289560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 do CDI</a:t>
          </a:r>
        </a:p>
      </xdr:txBody>
    </xdr:sp>
    <xdr:clientData/>
  </xdr:twoCellAnchor>
  <xdr:twoCellAnchor>
    <xdr:from>
      <xdr:col>13</xdr:col>
      <xdr:colOff>457200</xdr:colOff>
      <xdr:row>16</xdr:row>
      <xdr:rowOff>171450</xdr:rowOff>
    </xdr:from>
    <xdr:to>
      <xdr:col>16</xdr:col>
      <xdr:colOff>28575</xdr:colOff>
      <xdr:row>20</xdr:row>
      <xdr:rowOff>28575</xdr:rowOff>
    </xdr:to>
    <xdr:sp macro="" textlink="">
      <xdr:nvSpPr>
        <xdr:cNvPr id="6" name="Retângulo 5">
          <a:hlinkClick xmlns:r="http://schemas.openxmlformats.org/officeDocument/2006/relationships" r:id="rId5"/>
          <a:extLst>
            <a:ext uri="{FF2B5EF4-FFF2-40B4-BE49-F238E27FC236}">
              <a16:creationId xmlns:a16="http://schemas.microsoft.com/office/drawing/2014/main" id="{18F7A053-68BA-4EF5-840F-B50830853D51}"/>
            </a:ext>
          </a:extLst>
        </xdr:cNvPr>
        <xdr:cNvSpPr/>
      </xdr:nvSpPr>
      <xdr:spPr>
        <a:xfrm>
          <a:off x="8801100" y="3514725"/>
          <a:ext cx="1400175" cy="64770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Operações Matemáticas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16</xdr:col>
      <xdr:colOff>200025</xdr:colOff>
      <xdr:row>4</xdr:row>
      <xdr:rowOff>180975</xdr:rowOff>
    </xdr:from>
    <xdr:to>
      <xdr:col>18</xdr:col>
      <xdr:colOff>390525</xdr:colOff>
      <xdr:row>7</xdr:row>
      <xdr:rowOff>95250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56452E53-909D-4C3E-8AD0-5D60C911C963}"/>
            </a:ext>
          </a:extLst>
        </xdr:cNvPr>
        <xdr:cNvSpPr/>
      </xdr:nvSpPr>
      <xdr:spPr>
        <a:xfrm>
          <a:off x="10467975" y="1162050"/>
          <a:ext cx="1409700" cy="514350"/>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2</xdr:col>
      <xdr:colOff>19049</xdr:colOff>
      <xdr:row>21</xdr:row>
      <xdr:rowOff>28575</xdr:rowOff>
    </xdr:from>
    <xdr:to>
      <xdr:col>16</xdr:col>
      <xdr:colOff>28574</xdr:colOff>
      <xdr:row>34</xdr:row>
      <xdr:rowOff>161925</xdr:rowOff>
    </xdr:to>
    <xdr:graphicFrame macro="">
      <xdr:nvGraphicFramePr>
        <xdr:cNvPr id="3" name="Gráfico 2">
          <a:extLst>
            <a:ext uri="{FF2B5EF4-FFF2-40B4-BE49-F238E27FC236}">
              <a16:creationId xmlns:a16="http://schemas.microsoft.com/office/drawing/2014/main" id="{8F6AB13A-986A-4B10-9BDF-15A40A91FE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209550</xdr:colOff>
      <xdr:row>8</xdr:row>
      <xdr:rowOff>19050</xdr:rowOff>
    </xdr:from>
    <xdr:to>
      <xdr:col>18</xdr:col>
      <xdr:colOff>390525</xdr:colOff>
      <xdr:row>10</xdr:row>
      <xdr:rowOff>133350</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16118B07-B76D-49B5-8010-AC4333000705}"/>
            </a:ext>
          </a:extLst>
        </xdr:cNvPr>
        <xdr:cNvSpPr/>
      </xdr:nvSpPr>
      <xdr:spPr>
        <a:xfrm>
          <a:off x="10477500" y="180022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Taxas</a:t>
          </a:r>
        </a:p>
      </xdr:txBody>
    </xdr:sp>
    <xdr:clientData/>
  </xdr:twoCellAnchor>
  <xdr:twoCellAnchor>
    <xdr:from>
      <xdr:col>16</xdr:col>
      <xdr:colOff>209550</xdr:colOff>
      <xdr:row>11</xdr:row>
      <xdr:rowOff>57149</xdr:rowOff>
    </xdr:from>
    <xdr:to>
      <xdr:col>18</xdr:col>
      <xdr:colOff>390525</xdr:colOff>
      <xdr:row>14</xdr:row>
      <xdr:rowOff>57149</xdr:rowOff>
    </xdr:to>
    <xdr:sp macro="" textlink="">
      <xdr:nvSpPr>
        <xdr:cNvPr id="5" name="Retângulo 4">
          <a:extLst>
            <a:ext uri="{FF2B5EF4-FFF2-40B4-BE49-F238E27FC236}">
              <a16:creationId xmlns:a16="http://schemas.microsoft.com/office/drawing/2014/main" id="{F09EAA10-5FFD-41D5-987A-476AF289F132}"/>
            </a:ext>
          </a:extLst>
        </xdr:cNvPr>
        <xdr:cNvSpPr/>
      </xdr:nvSpPr>
      <xdr:spPr>
        <a:xfrm>
          <a:off x="10477500" y="2438399"/>
          <a:ext cx="1400175" cy="600075"/>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Corretora</a:t>
          </a:r>
        </a:p>
      </xdr:txBody>
    </xdr:sp>
    <xdr:clientData/>
  </xdr:twoCellAnchor>
  <xdr:twoCellAnchor>
    <xdr:from>
      <xdr:col>16</xdr:col>
      <xdr:colOff>209550</xdr:colOff>
      <xdr:row>14</xdr:row>
      <xdr:rowOff>171450</xdr:rowOff>
    </xdr:from>
    <xdr:to>
      <xdr:col>18</xdr:col>
      <xdr:colOff>390525</xdr:colOff>
      <xdr:row>17</xdr:row>
      <xdr:rowOff>171450</xdr:rowOff>
    </xdr:to>
    <xdr:sp macro="" textlink="">
      <xdr:nvSpPr>
        <xdr:cNvPr id="6" name="Retângulo 5">
          <a:hlinkClick xmlns:r="http://schemas.openxmlformats.org/officeDocument/2006/relationships" r:id="rId4"/>
          <a:extLst>
            <a:ext uri="{FF2B5EF4-FFF2-40B4-BE49-F238E27FC236}">
              <a16:creationId xmlns:a16="http://schemas.microsoft.com/office/drawing/2014/main" id="{997E15AA-3BE8-4A7B-8B7C-36689104C723}"/>
            </a:ext>
          </a:extLst>
        </xdr:cNvPr>
        <xdr:cNvSpPr/>
      </xdr:nvSpPr>
      <xdr:spPr>
        <a:xfrm>
          <a:off x="10477500" y="3152775"/>
          <a:ext cx="1400175" cy="600075"/>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IR no Rendimento</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485775</xdr:colOff>
      <xdr:row>5</xdr:row>
      <xdr:rowOff>28575</xdr:rowOff>
    </xdr:from>
    <xdr:to>
      <xdr:col>16</xdr:col>
      <xdr:colOff>66675</xdr:colOff>
      <xdr:row>7</xdr:row>
      <xdr:rowOff>142875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51997687-09CC-4DCA-83BA-54F7FBD3589B}"/>
            </a:ext>
          </a:extLst>
        </xdr:cNvPr>
        <xdr:cNvSpPr/>
      </xdr:nvSpPr>
      <xdr:spPr>
        <a:xfrm>
          <a:off x="9039225" y="1209675"/>
          <a:ext cx="1409700" cy="514350"/>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13</xdr:col>
      <xdr:colOff>495300</xdr:colOff>
      <xdr:row>8</xdr:row>
      <xdr:rowOff>95250</xdr:rowOff>
    </xdr:from>
    <xdr:to>
      <xdr:col>16</xdr:col>
      <xdr:colOff>66675</xdr:colOff>
      <xdr:row>11</xdr:row>
      <xdr:rowOff>28575</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982BA53B-5108-41B2-9743-BD4179302C3F}"/>
            </a:ext>
          </a:extLst>
        </xdr:cNvPr>
        <xdr:cNvSpPr/>
      </xdr:nvSpPr>
      <xdr:spPr>
        <a:xfrm>
          <a:off x="9048750" y="186690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Taxas</a:t>
          </a:r>
        </a:p>
      </xdr:txBody>
    </xdr:sp>
    <xdr:clientData/>
  </xdr:twoCellAnchor>
  <xdr:twoCellAnchor>
    <xdr:from>
      <xdr:col>13</xdr:col>
      <xdr:colOff>495300</xdr:colOff>
      <xdr:row>11</xdr:row>
      <xdr:rowOff>142875</xdr:rowOff>
    </xdr:from>
    <xdr:to>
      <xdr:col>16</xdr:col>
      <xdr:colOff>66675</xdr:colOff>
      <xdr:row>14</xdr:row>
      <xdr:rowOff>76200</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F7431D26-D7E4-4734-8043-33476620194B}"/>
            </a:ext>
          </a:extLst>
        </xdr:cNvPr>
        <xdr:cNvSpPr/>
      </xdr:nvSpPr>
      <xdr:spPr>
        <a:xfrm>
          <a:off x="9048750" y="249555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Cálculos Finan.</a:t>
          </a:r>
        </a:p>
      </xdr:txBody>
    </xdr:sp>
    <xdr:clientData/>
  </xdr:twoCellAnchor>
  <xdr:twoCellAnchor>
    <xdr:from>
      <xdr:col>13</xdr:col>
      <xdr:colOff>504825</xdr:colOff>
      <xdr:row>14</xdr:row>
      <xdr:rowOff>180975</xdr:rowOff>
    </xdr:from>
    <xdr:to>
      <xdr:col>16</xdr:col>
      <xdr:colOff>76200</xdr:colOff>
      <xdr:row>18</xdr:row>
      <xdr:rowOff>38100</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ADB64A7F-D3B2-4951-B799-E2B2C1C8B3B5}"/>
            </a:ext>
          </a:extLst>
        </xdr:cNvPr>
        <xdr:cNvSpPr/>
      </xdr:nvSpPr>
      <xdr:spPr>
        <a:xfrm>
          <a:off x="9058275" y="3114675"/>
          <a:ext cx="1400175" cy="64770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Operações Matemáticas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200025</xdr:colOff>
      <xdr:row>5</xdr:row>
      <xdr:rowOff>180975</xdr:rowOff>
    </xdr:from>
    <xdr:to>
      <xdr:col>16</xdr:col>
      <xdr:colOff>390525</xdr:colOff>
      <xdr:row>8</xdr:row>
      <xdr:rowOff>95250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BC2A5345-8956-4A47-BE74-DACDD89E2067}"/>
            </a:ext>
          </a:extLst>
        </xdr:cNvPr>
        <xdr:cNvSpPr/>
      </xdr:nvSpPr>
      <xdr:spPr>
        <a:xfrm>
          <a:off x="10734675" y="1409700"/>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14</xdr:col>
      <xdr:colOff>209550</xdr:colOff>
      <xdr:row>9</xdr:row>
      <xdr:rowOff>28575</xdr:rowOff>
    </xdr:from>
    <xdr:to>
      <xdr:col>16</xdr:col>
      <xdr:colOff>390525</xdr:colOff>
      <xdr:row>11</xdr:row>
      <xdr:rowOff>152400</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C6885341-A57B-4453-9EEA-1279A65A04D8}"/>
            </a:ext>
          </a:extLst>
        </xdr:cNvPr>
        <xdr:cNvSpPr/>
      </xdr:nvSpPr>
      <xdr:spPr>
        <a:xfrm>
          <a:off x="10744200" y="204787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Taxas</a:t>
          </a:r>
        </a:p>
      </xdr:txBody>
    </xdr:sp>
    <xdr:clientData/>
  </xdr:twoCellAnchor>
  <xdr:twoCellAnchor>
    <xdr:from>
      <xdr:col>14</xdr:col>
      <xdr:colOff>209550</xdr:colOff>
      <xdr:row>12</xdr:row>
      <xdr:rowOff>66675</xdr:rowOff>
    </xdr:from>
    <xdr:to>
      <xdr:col>16</xdr:col>
      <xdr:colOff>390525</xdr:colOff>
      <xdr:row>15</xdr:row>
      <xdr:rowOff>0</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E3FA55B0-914C-4660-9661-5E4F12F6C9CC}"/>
            </a:ext>
          </a:extLst>
        </xdr:cNvPr>
        <xdr:cNvSpPr/>
      </xdr:nvSpPr>
      <xdr:spPr>
        <a:xfrm>
          <a:off x="10744200" y="267652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Cálculos Finan.</a:t>
          </a:r>
        </a:p>
      </xdr:txBody>
    </xdr:sp>
    <xdr:clientData/>
  </xdr:twoCellAnchor>
  <xdr:twoCellAnchor>
    <xdr:from>
      <xdr:col>14</xdr:col>
      <xdr:colOff>209550</xdr:colOff>
      <xdr:row>15</xdr:row>
      <xdr:rowOff>123825</xdr:rowOff>
    </xdr:from>
    <xdr:to>
      <xdr:col>16</xdr:col>
      <xdr:colOff>390525</xdr:colOff>
      <xdr:row>18</xdr:row>
      <xdr:rowOff>133350</xdr:rowOff>
    </xdr:to>
    <xdr:sp macro="" textlink="">
      <xdr:nvSpPr>
        <xdr:cNvPr id="7" name="Retângulo 6">
          <a:hlinkClick xmlns:r="http://schemas.openxmlformats.org/officeDocument/2006/relationships" r:id="rId4"/>
          <a:extLst>
            <a:ext uri="{FF2B5EF4-FFF2-40B4-BE49-F238E27FC236}">
              <a16:creationId xmlns:a16="http://schemas.microsoft.com/office/drawing/2014/main" id="{1D7F80DD-3D8F-4D8E-A37F-D635D28D2E8E}"/>
            </a:ext>
          </a:extLst>
        </xdr:cNvPr>
        <xdr:cNvSpPr/>
      </xdr:nvSpPr>
      <xdr:spPr>
        <a:xfrm>
          <a:off x="10744200" y="3314700"/>
          <a:ext cx="1400175" cy="64770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Operações Matemáticas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180975</xdr:colOff>
      <xdr:row>4</xdr:row>
      <xdr:rowOff>190500</xdr:rowOff>
    </xdr:from>
    <xdr:to>
      <xdr:col>13</xdr:col>
      <xdr:colOff>371475</xdr:colOff>
      <xdr:row>6</xdr:row>
      <xdr:rowOff>19050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57520554-D503-43E2-89B5-0C25BD842D76}"/>
            </a:ext>
          </a:extLst>
        </xdr:cNvPr>
        <xdr:cNvSpPr/>
      </xdr:nvSpPr>
      <xdr:spPr>
        <a:xfrm>
          <a:off x="10810875" y="1171575"/>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11</xdr:col>
      <xdr:colOff>200025</xdr:colOff>
      <xdr:row>6</xdr:row>
      <xdr:rowOff>171450</xdr:rowOff>
    </xdr:from>
    <xdr:to>
      <xdr:col>13</xdr:col>
      <xdr:colOff>381000</xdr:colOff>
      <xdr:row>9</xdr:row>
      <xdr:rowOff>57150</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C50221D7-8EC1-4020-9201-C82FCB13ED4A}"/>
            </a:ext>
          </a:extLst>
        </xdr:cNvPr>
        <xdr:cNvSpPr/>
      </xdr:nvSpPr>
      <xdr:spPr>
        <a:xfrm>
          <a:off x="10829925" y="182880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Tabela de IR</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381000</xdr:colOff>
      <xdr:row>5</xdr:row>
      <xdr:rowOff>0</xdr:rowOff>
    </xdr:from>
    <xdr:to>
      <xdr:col>15</xdr:col>
      <xdr:colOff>571500</xdr:colOff>
      <xdr:row>7</xdr:row>
      <xdr:rowOff>104775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1F5F7744-9295-4F9B-B8D3-2169CA6FFA7A}"/>
            </a:ext>
          </a:extLst>
        </xdr:cNvPr>
        <xdr:cNvSpPr/>
      </xdr:nvSpPr>
      <xdr:spPr>
        <a:xfrm>
          <a:off x="8724900" y="1181100"/>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13</xdr:col>
      <xdr:colOff>400050</xdr:colOff>
      <xdr:row>8</xdr:row>
      <xdr:rowOff>104775</xdr:rowOff>
    </xdr:from>
    <xdr:to>
      <xdr:col>15</xdr:col>
      <xdr:colOff>581025</xdr:colOff>
      <xdr:row>11</xdr:row>
      <xdr:rowOff>28575</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342FD941-62FD-4343-BC7F-1B790F6DF7FD}"/>
            </a:ext>
          </a:extLst>
        </xdr:cNvPr>
        <xdr:cNvSpPr/>
      </xdr:nvSpPr>
      <xdr:spPr>
        <a:xfrm>
          <a:off x="8743950" y="206692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Taxas</a:t>
          </a:r>
        </a:p>
      </xdr:txBody>
    </xdr:sp>
    <xdr:clientData/>
  </xdr:twoCellAnchor>
  <xdr:twoCellAnchor>
    <xdr:from>
      <xdr:col>13</xdr:col>
      <xdr:colOff>400050</xdr:colOff>
      <xdr:row>11</xdr:row>
      <xdr:rowOff>142875</xdr:rowOff>
    </xdr:from>
    <xdr:to>
      <xdr:col>15</xdr:col>
      <xdr:colOff>581025</xdr:colOff>
      <xdr:row>14</xdr:row>
      <xdr:rowOff>85725</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05DED1BC-E11A-4984-884E-E4D5D82A5348}"/>
            </a:ext>
          </a:extLst>
        </xdr:cNvPr>
        <xdr:cNvSpPr/>
      </xdr:nvSpPr>
      <xdr:spPr>
        <a:xfrm>
          <a:off x="8743950" y="269557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Cálculos Finan.</a:t>
          </a:r>
        </a:p>
      </xdr:txBody>
    </xdr:sp>
    <xdr:clientData/>
  </xdr:twoCellAnchor>
  <xdr:twoCellAnchor>
    <xdr:from>
      <xdr:col>13</xdr:col>
      <xdr:colOff>400050</xdr:colOff>
      <xdr:row>15</xdr:row>
      <xdr:rowOff>0</xdr:rowOff>
    </xdr:from>
    <xdr:to>
      <xdr:col>15</xdr:col>
      <xdr:colOff>581025</xdr:colOff>
      <xdr:row>18</xdr:row>
      <xdr:rowOff>76200</xdr:rowOff>
    </xdr:to>
    <xdr:sp macro="" textlink="">
      <xdr:nvSpPr>
        <xdr:cNvPr id="5" name="Retângulo 4">
          <a:hlinkClick xmlns:r="http://schemas.openxmlformats.org/officeDocument/2006/relationships" r:id="rId4"/>
          <a:extLst>
            <a:ext uri="{FF2B5EF4-FFF2-40B4-BE49-F238E27FC236}">
              <a16:creationId xmlns:a16="http://schemas.microsoft.com/office/drawing/2014/main" id="{227D3638-9558-4B13-836D-579918F0B869}"/>
            </a:ext>
          </a:extLst>
        </xdr:cNvPr>
        <xdr:cNvSpPr/>
      </xdr:nvSpPr>
      <xdr:spPr>
        <a:xfrm>
          <a:off x="8743950" y="3124200"/>
          <a:ext cx="1400175" cy="64770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Operações Matemáticas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17</xdr:col>
      <xdr:colOff>114300</xdr:colOff>
      <xdr:row>3</xdr:row>
      <xdr:rowOff>104775</xdr:rowOff>
    </xdr:from>
    <xdr:to>
      <xdr:col>19</xdr:col>
      <xdr:colOff>304800</xdr:colOff>
      <xdr:row>6</xdr:row>
      <xdr:rowOff>38100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BFACA4FB-0605-4125-A0ED-1315C75FE709}"/>
            </a:ext>
          </a:extLst>
        </xdr:cNvPr>
        <xdr:cNvSpPr/>
      </xdr:nvSpPr>
      <xdr:spPr>
        <a:xfrm>
          <a:off x="10896600" y="895350"/>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editAs="oneCell">
    <xdr:from>
      <xdr:col>1</xdr:col>
      <xdr:colOff>695326</xdr:colOff>
      <xdr:row>2</xdr:row>
      <xdr:rowOff>180975</xdr:rowOff>
    </xdr:from>
    <xdr:to>
      <xdr:col>16</xdr:col>
      <xdr:colOff>495301</xdr:colOff>
      <xdr:row>37</xdr:row>
      <xdr:rowOff>104775</xdr:rowOff>
    </xdr:to>
    <xdr:pic>
      <xdr:nvPicPr>
        <xdr:cNvPr id="3" name="Imagem 2">
          <a:extLst>
            <a:ext uri="{FF2B5EF4-FFF2-40B4-BE49-F238E27FC236}">
              <a16:creationId xmlns:a16="http://schemas.microsoft.com/office/drawing/2014/main" id="{6AAEB508-F2BF-4034-9A96-EF60569FEB94}"/>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0" r="2097"/>
        <a:stretch/>
      </xdr:blipFill>
      <xdr:spPr bwMode="auto">
        <a:xfrm>
          <a:off x="1409701" y="781050"/>
          <a:ext cx="9258300" cy="659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114300</xdr:colOff>
      <xdr:row>6</xdr:row>
      <xdr:rowOff>180974</xdr:rowOff>
    </xdr:from>
    <xdr:to>
      <xdr:col>19</xdr:col>
      <xdr:colOff>295275</xdr:colOff>
      <xdr:row>9</xdr:row>
      <xdr:rowOff>171449</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3B866BF5-8B55-4552-B55C-85AEF3089B22}"/>
            </a:ext>
          </a:extLst>
        </xdr:cNvPr>
        <xdr:cNvSpPr/>
      </xdr:nvSpPr>
      <xdr:spPr>
        <a:xfrm>
          <a:off x="10896600" y="1543049"/>
          <a:ext cx="1400175" cy="561975"/>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Composição Atual (S&amp;P)</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15</xdr:col>
      <xdr:colOff>447675</xdr:colOff>
      <xdr:row>3</xdr:row>
      <xdr:rowOff>161925</xdr:rowOff>
    </xdr:from>
    <xdr:to>
      <xdr:col>18</xdr:col>
      <xdr:colOff>28575</xdr:colOff>
      <xdr:row>6</xdr:row>
      <xdr:rowOff>76200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2F439C40-5E18-47BB-AD0A-CEC57786ECDD}"/>
            </a:ext>
          </a:extLst>
        </xdr:cNvPr>
        <xdr:cNvSpPr/>
      </xdr:nvSpPr>
      <xdr:spPr>
        <a:xfrm>
          <a:off x="10010775" y="952500"/>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editAs="oneCell">
    <xdr:from>
      <xdr:col>15</xdr:col>
      <xdr:colOff>209550</xdr:colOff>
      <xdr:row>10</xdr:row>
      <xdr:rowOff>179525</xdr:rowOff>
    </xdr:from>
    <xdr:to>
      <xdr:col>18</xdr:col>
      <xdr:colOff>447675</xdr:colOff>
      <xdr:row>17</xdr:row>
      <xdr:rowOff>47625</xdr:rowOff>
    </xdr:to>
    <xdr:pic>
      <xdr:nvPicPr>
        <xdr:cNvPr id="3" name="Imagem 2" descr="Image result for INDICE SHARPE">
          <a:extLst>
            <a:ext uri="{FF2B5EF4-FFF2-40B4-BE49-F238E27FC236}">
              <a16:creationId xmlns:a16="http://schemas.microsoft.com/office/drawing/2014/main" id="{C25E4D5B-AA99-4E56-9A08-2AC010C77E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72650" y="2360750"/>
          <a:ext cx="2066925" cy="125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476250</xdr:colOff>
      <xdr:row>6</xdr:row>
      <xdr:rowOff>180975</xdr:rowOff>
    </xdr:from>
    <xdr:to>
      <xdr:col>18</xdr:col>
      <xdr:colOff>47625</xdr:colOff>
      <xdr:row>9</xdr:row>
      <xdr:rowOff>171451</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AF410EC9-BC08-43B1-9FD4-56DF3B762F01}"/>
            </a:ext>
          </a:extLst>
        </xdr:cNvPr>
        <xdr:cNvSpPr/>
      </xdr:nvSpPr>
      <xdr:spPr>
        <a:xfrm>
          <a:off x="10039350" y="1562100"/>
          <a:ext cx="1400175" cy="590551"/>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Divisão de</a:t>
          </a:r>
          <a:r>
            <a:rPr lang="pt-BR" sz="1500" b="1" baseline="0"/>
            <a:t> Carteira</a:t>
          </a:r>
          <a:endParaRPr lang="pt-BR" sz="1500" b="1"/>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18</xdr:col>
      <xdr:colOff>419100</xdr:colOff>
      <xdr:row>1</xdr:row>
      <xdr:rowOff>171450</xdr:rowOff>
    </xdr:from>
    <xdr:to>
      <xdr:col>21</xdr:col>
      <xdr:colOff>0</xdr:colOff>
      <xdr:row>3</xdr:row>
      <xdr:rowOff>76200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579E85C2-899A-4E10-AF5A-5A892EEFC910}"/>
            </a:ext>
          </a:extLst>
        </xdr:cNvPr>
        <xdr:cNvSpPr/>
      </xdr:nvSpPr>
      <xdr:spPr>
        <a:xfrm>
          <a:off x="10858500" y="361950"/>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257175</xdr:colOff>
      <xdr:row>6</xdr:row>
      <xdr:rowOff>180975</xdr:rowOff>
    </xdr:from>
    <xdr:to>
      <xdr:col>16</xdr:col>
      <xdr:colOff>447675</xdr:colOff>
      <xdr:row>9</xdr:row>
      <xdr:rowOff>95250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9FCB5EDE-A636-4436-9821-CF961976EB46}"/>
            </a:ext>
          </a:extLst>
        </xdr:cNvPr>
        <xdr:cNvSpPr/>
      </xdr:nvSpPr>
      <xdr:spPr>
        <a:xfrm>
          <a:off x="9448800" y="1933575"/>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14</xdr:col>
      <xdr:colOff>257175</xdr:colOff>
      <xdr:row>10</xdr:row>
      <xdr:rowOff>28575</xdr:rowOff>
    </xdr:from>
    <xdr:to>
      <xdr:col>16</xdr:col>
      <xdr:colOff>438150</xdr:colOff>
      <xdr:row>12</xdr:row>
      <xdr:rowOff>142875</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B39249FE-88FE-4D01-B1D4-CBA08F64FD7A}"/>
            </a:ext>
          </a:extLst>
        </xdr:cNvPr>
        <xdr:cNvSpPr/>
      </xdr:nvSpPr>
      <xdr:spPr>
        <a:xfrm>
          <a:off x="10344150" y="219075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Taxas</a:t>
          </a:r>
        </a:p>
      </xdr:txBody>
    </xdr:sp>
    <xdr:clientData/>
  </xdr:twoCellAnchor>
  <xdr:twoCellAnchor>
    <xdr:from>
      <xdr:col>14</xdr:col>
      <xdr:colOff>257175</xdr:colOff>
      <xdr:row>13</xdr:row>
      <xdr:rowOff>66675</xdr:rowOff>
    </xdr:from>
    <xdr:to>
      <xdr:col>16</xdr:col>
      <xdr:colOff>438150</xdr:colOff>
      <xdr:row>16</xdr:row>
      <xdr:rowOff>0</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023ABB1A-D0AC-476C-9695-DF517E169021}"/>
            </a:ext>
          </a:extLst>
        </xdr:cNvPr>
        <xdr:cNvSpPr/>
      </xdr:nvSpPr>
      <xdr:spPr>
        <a:xfrm>
          <a:off x="10344150" y="282892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Pós x Pré</a:t>
          </a:r>
        </a:p>
      </xdr:txBody>
    </xdr:sp>
    <xdr:clientData/>
  </xdr:twoCellAnchor>
  <xdr:twoCellAnchor>
    <xdr:from>
      <xdr:col>14</xdr:col>
      <xdr:colOff>257175</xdr:colOff>
      <xdr:row>16</xdr:row>
      <xdr:rowOff>123825</xdr:rowOff>
    </xdr:from>
    <xdr:to>
      <xdr:col>16</xdr:col>
      <xdr:colOff>438150</xdr:colOff>
      <xdr:row>19</xdr:row>
      <xdr:rowOff>123825</xdr:rowOff>
    </xdr:to>
    <xdr:sp macro="" textlink="">
      <xdr:nvSpPr>
        <xdr:cNvPr id="5" name="Retângulo 4">
          <a:hlinkClick xmlns:r="http://schemas.openxmlformats.org/officeDocument/2006/relationships" r:id="rId4"/>
          <a:extLst>
            <a:ext uri="{FF2B5EF4-FFF2-40B4-BE49-F238E27FC236}">
              <a16:creationId xmlns:a16="http://schemas.microsoft.com/office/drawing/2014/main" id="{B9BD8263-1F97-4B27-B772-4D2B6755CB20}"/>
            </a:ext>
          </a:extLst>
        </xdr:cNvPr>
        <xdr:cNvSpPr/>
      </xdr:nvSpPr>
      <xdr:spPr>
        <a:xfrm>
          <a:off x="10344150" y="3467100"/>
          <a:ext cx="1400175" cy="600075"/>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IR no Rendimento</a:t>
          </a:r>
        </a:p>
      </xdr:txBody>
    </xdr:sp>
    <xdr:clientData/>
  </xdr:twoCellAnchor>
  <xdr:twoCellAnchor>
    <xdr:from>
      <xdr:col>14</xdr:col>
      <xdr:colOff>257175</xdr:colOff>
      <xdr:row>20</xdr:row>
      <xdr:rowOff>38100</xdr:rowOff>
    </xdr:from>
    <xdr:to>
      <xdr:col>16</xdr:col>
      <xdr:colOff>438150</xdr:colOff>
      <xdr:row>23</xdr:row>
      <xdr:rowOff>38100</xdr:rowOff>
    </xdr:to>
    <xdr:sp macro="" textlink="">
      <xdr:nvSpPr>
        <xdr:cNvPr id="6" name="Retângulo 5">
          <a:hlinkClick xmlns:r="http://schemas.openxmlformats.org/officeDocument/2006/relationships" r:id="rId5"/>
          <a:extLst>
            <a:ext uri="{FF2B5EF4-FFF2-40B4-BE49-F238E27FC236}">
              <a16:creationId xmlns:a16="http://schemas.microsoft.com/office/drawing/2014/main" id="{C39365F0-A6CE-4036-88C1-7857CCF55DD0}"/>
            </a:ext>
          </a:extLst>
        </xdr:cNvPr>
        <xdr:cNvSpPr/>
      </xdr:nvSpPr>
      <xdr:spPr>
        <a:xfrm>
          <a:off x="10344150" y="4181475"/>
          <a:ext cx="1400175" cy="600075"/>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Custódia do Tesouro</a:t>
          </a:r>
        </a:p>
      </xdr:txBody>
    </xdr:sp>
    <xdr:clientData/>
  </xdr:twoCellAnchor>
  <xdr:twoCellAnchor>
    <xdr:from>
      <xdr:col>14</xdr:col>
      <xdr:colOff>257175</xdr:colOff>
      <xdr:row>23</xdr:row>
      <xdr:rowOff>161925</xdr:rowOff>
    </xdr:from>
    <xdr:to>
      <xdr:col>16</xdr:col>
      <xdr:colOff>438150</xdr:colOff>
      <xdr:row>26</xdr:row>
      <xdr:rowOff>85725</xdr:rowOff>
    </xdr:to>
    <xdr:sp macro="" textlink="">
      <xdr:nvSpPr>
        <xdr:cNvPr id="7" name="Retângulo 6">
          <a:hlinkClick xmlns:r="http://schemas.openxmlformats.org/officeDocument/2006/relationships" r:id="rId6"/>
          <a:extLst>
            <a:ext uri="{FF2B5EF4-FFF2-40B4-BE49-F238E27FC236}">
              <a16:creationId xmlns:a16="http://schemas.microsoft.com/office/drawing/2014/main" id="{47BE88CA-F093-4A83-8AF7-4AE5511C1CBF}"/>
            </a:ext>
          </a:extLst>
        </xdr:cNvPr>
        <xdr:cNvSpPr/>
      </xdr:nvSpPr>
      <xdr:spPr>
        <a:xfrm>
          <a:off x="10344150" y="490537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Cálculos Finan.</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16</xdr:col>
      <xdr:colOff>504825</xdr:colOff>
      <xdr:row>3</xdr:row>
      <xdr:rowOff>171450</xdr:rowOff>
    </xdr:from>
    <xdr:to>
      <xdr:col>19</xdr:col>
      <xdr:colOff>85725</xdr:colOff>
      <xdr:row>6</xdr:row>
      <xdr:rowOff>104775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7BC50227-6300-4E2C-85D2-0D7AF6F021D1}"/>
            </a:ext>
          </a:extLst>
        </xdr:cNvPr>
        <xdr:cNvSpPr/>
      </xdr:nvSpPr>
      <xdr:spPr>
        <a:xfrm>
          <a:off x="10677525" y="962025"/>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editAs="oneCell">
    <xdr:from>
      <xdr:col>2</xdr:col>
      <xdr:colOff>600074</xdr:colOff>
      <xdr:row>3</xdr:row>
      <xdr:rowOff>142875</xdr:rowOff>
    </xdr:from>
    <xdr:to>
      <xdr:col>16</xdr:col>
      <xdr:colOff>190499</xdr:colOff>
      <xdr:row>23</xdr:row>
      <xdr:rowOff>95250</xdr:rowOff>
    </xdr:to>
    <xdr:pic>
      <xdr:nvPicPr>
        <xdr:cNvPr id="3" name="Imagem 2">
          <a:extLst>
            <a:ext uri="{FF2B5EF4-FFF2-40B4-BE49-F238E27FC236}">
              <a16:creationId xmlns:a16="http://schemas.microsoft.com/office/drawing/2014/main" id="{29B3965F-CCF6-4F07-9CA2-364D6076B0E2}"/>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18" t="2948"/>
        <a:stretch/>
      </xdr:blipFill>
      <xdr:spPr bwMode="auto">
        <a:xfrm>
          <a:off x="2028824" y="933450"/>
          <a:ext cx="8334375" cy="376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590550</xdr:colOff>
      <xdr:row>24</xdr:row>
      <xdr:rowOff>47625</xdr:rowOff>
    </xdr:from>
    <xdr:to>
      <xdr:col>16</xdr:col>
      <xdr:colOff>180975</xdr:colOff>
      <xdr:row>35</xdr:row>
      <xdr:rowOff>180975</xdr:rowOff>
    </xdr:to>
    <xdr:pic>
      <xdr:nvPicPr>
        <xdr:cNvPr id="4" name="Imagem 3">
          <a:extLst>
            <a:ext uri="{FF2B5EF4-FFF2-40B4-BE49-F238E27FC236}">
              <a16:creationId xmlns:a16="http://schemas.microsoft.com/office/drawing/2014/main" id="{E691510F-B6C8-426C-9C5A-B78A23F6FC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19300" y="4838700"/>
          <a:ext cx="8334375" cy="222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561975</xdr:colOff>
      <xdr:row>36</xdr:row>
      <xdr:rowOff>85725</xdr:rowOff>
    </xdr:from>
    <xdr:to>
      <xdr:col>16</xdr:col>
      <xdr:colOff>142875</xdr:colOff>
      <xdr:row>52</xdr:row>
      <xdr:rowOff>9525</xdr:rowOff>
    </xdr:to>
    <xdr:pic>
      <xdr:nvPicPr>
        <xdr:cNvPr id="5" name="Imagem 4">
          <a:extLst>
            <a:ext uri="{FF2B5EF4-FFF2-40B4-BE49-F238E27FC236}">
              <a16:creationId xmlns:a16="http://schemas.microsoft.com/office/drawing/2014/main" id="{93B0E57F-EA6C-4A31-9BEB-878E12E795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725" y="7162800"/>
          <a:ext cx="8324850" cy="29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552450</xdr:colOff>
      <xdr:row>52</xdr:row>
      <xdr:rowOff>114300</xdr:rowOff>
    </xdr:from>
    <xdr:to>
      <xdr:col>16</xdr:col>
      <xdr:colOff>123825</xdr:colOff>
      <xdr:row>71</xdr:row>
      <xdr:rowOff>57150</xdr:rowOff>
    </xdr:to>
    <xdr:pic>
      <xdr:nvPicPr>
        <xdr:cNvPr id="6" name="Imagem 5">
          <a:extLst>
            <a:ext uri="{FF2B5EF4-FFF2-40B4-BE49-F238E27FC236}">
              <a16:creationId xmlns:a16="http://schemas.microsoft.com/office/drawing/2014/main" id="{0AE3036F-8067-4D7E-8F2D-BE973422C0E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81200" y="10239375"/>
          <a:ext cx="8315325" cy="3562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504825</xdr:colOff>
      <xdr:row>7</xdr:row>
      <xdr:rowOff>38100</xdr:rowOff>
    </xdr:from>
    <xdr:to>
      <xdr:col>19</xdr:col>
      <xdr:colOff>76200</xdr:colOff>
      <xdr:row>9</xdr:row>
      <xdr:rowOff>180976</xdr:rowOff>
    </xdr:to>
    <xdr:sp macro="" textlink="">
      <xdr:nvSpPr>
        <xdr:cNvPr id="7" name="Retângulo 6">
          <a:hlinkClick xmlns:r="http://schemas.openxmlformats.org/officeDocument/2006/relationships" r:id="rId6"/>
          <a:extLst>
            <a:ext uri="{FF2B5EF4-FFF2-40B4-BE49-F238E27FC236}">
              <a16:creationId xmlns:a16="http://schemas.microsoft.com/office/drawing/2014/main" id="{DAC2DD1C-9E13-4E2B-904F-423A974A93D1}"/>
            </a:ext>
          </a:extLst>
        </xdr:cNvPr>
        <xdr:cNvSpPr/>
      </xdr:nvSpPr>
      <xdr:spPr>
        <a:xfrm>
          <a:off x="10677525" y="1590675"/>
          <a:ext cx="1400175" cy="523876"/>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Códigos STVM</a:t>
          </a:r>
        </a:p>
      </xdr:txBody>
    </xdr:sp>
    <xdr:clientData/>
  </xdr:twoCellAnchor>
  <xdr:twoCellAnchor>
    <xdr:from>
      <xdr:col>16</xdr:col>
      <xdr:colOff>495300</xdr:colOff>
      <xdr:row>10</xdr:row>
      <xdr:rowOff>104775</xdr:rowOff>
    </xdr:from>
    <xdr:to>
      <xdr:col>19</xdr:col>
      <xdr:colOff>66675</xdr:colOff>
      <xdr:row>13</xdr:row>
      <xdr:rowOff>95251</xdr:rowOff>
    </xdr:to>
    <xdr:sp macro="" textlink="">
      <xdr:nvSpPr>
        <xdr:cNvPr id="8" name="Retângulo 7">
          <a:hlinkClick xmlns:r="http://schemas.openxmlformats.org/officeDocument/2006/relationships" r:id="rId7"/>
          <a:extLst>
            <a:ext uri="{FF2B5EF4-FFF2-40B4-BE49-F238E27FC236}">
              <a16:creationId xmlns:a16="http://schemas.microsoft.com/office/drawing/2014/main" id="{ED121D0A-37BA-4429-919A-755CF8A94CB7}"/>
            </a:ext>
          </a:extLst>
        </xdr:cNvPr>
        <xdr:cNvSpPr/>
      </xdr:nvSpPr>
      <xdr:spPr>
        <a:xfrm>
          <a:off x="10668000" y="2228850"/>
          <a:ext cx="1400175" cy="561976"/>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Corretora</a:t>
          </a:r>
        </a:p>
      </xdr:txBody>
    </xdr:sp>
    <xdr:clientData/>
  </xdr:twoCellAnchor>
  <xdr:twoCellAnchor>
    <xdr:from>
      <xdr:col>16</xdr:col>
      <xdr:colOff>495300</xdr:colOff>
      <xdr:row>14</xdr:row>
      <xdr:rowOff>28575</xdr:rowOff>
    </xdr:from>
    <xdr:to>
      <xdr:col>19</xdr:col>
      <xdr:colOff>66675</xdr:colOff>
      <xdr:row>17</xdr:row>
      <xdr:rowOff>57150</xdr:rowOff>
    </xdr:to>
    <xdr:sp macro="" textlink="">
      <xdr:nvSpPr>
        <xdr:cNvPr id="9" name="Retângulo 8">
          <a:hlinkClick xmlns:r="http://schemas.openxmlformats.org/officeDocument/2006/relationships" r:id="rId8"/>
          <a:extLst>
            <a:ext uri="{FF2B5EF4-FFF2-40B4-BE49-F238E27FC236}">
              <a16:creationId xmlns:a16="http://schemas.microsoft.com/office/drawing/2014/main" id="{922A637A-FB1C-4A74-A6CA-E34836F8569B}"/>
            </a:ext>
          </a:extLst>
        </xdr:cNvPr>
        <xdr:cNvSpPr/>
      </xdr:nvSpPr>
      <xdr:spPr>
        <a:xfrm>
          <a:off x="10668000" y="2914650"/>
          <a:ext cx="1400175" cy="600075"/>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Custódia do Tesouro</a:t>
          </a:r>
        </a:p>
      </xdr:txBody>
    </xdr:sp>
    <xdr:clientData/>
  </xdr:twoCellAnchor>
  <xdr:twoCellAnchor>
    <xdr:from>
      <xdr:col>16</xdr:col>
      <xdr:colOff>495300</xdr:colOff>
      <xdr:row>17</xdr:row>
      <xdr:rowOff>180975</xdr:rowOff>
    </xdr:from>
    <xdr:to>
      <xdr:col>19</xdr:col>
      <xdr:colOff>66675</xdr:colOff>
      <xdr:row>20</xdr:row>
      <xdr:rowOff>123825</xdr:rowOff>
    </xdr:to>
    <xdr:sp macro="" textlink="">
      <xdr:nvSpPr>
        <xdr:cNvPr id="10" name="Retângulo 9">
          <a:hlinkClick xmlns:r="http://schemas.openxmlformats.org/officeDocument/2006/relationships" r:id="rId9"/>
          <a:extLst>
            <a:ext uri="{FF2B5EF4-FFF2-40B4-BE49-F238E27FC236}">
              <a16:creationId xmlns:a16="http://schemas.microsoft.com/office/drawing/2014/main" id="{CB9AB3B3-E7A0-48FD-BA5F-CACC6A24F4F4}"/>
            </a:ext>
          </a:extLst>
        </xdr:cNvPr>
        <xdr:cNvSpPr/>
      </xdr:nvSpPr>
      <xdr:spPr>
        <a:xfrm>
          <a:off x="10668000" y="363855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Cálculos Finan.</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15</xdr:col>
      <xdr:colOff>276225</xdr:colOff>
      <xdr:row>5</xdr:row>
      <xdr:rowOff>171450</xdr:rowOff>
    </xdr:from>
    <xdr:to>
      <xdr:col>17</xdr:col>
      <xdr:colOff>466725</xdr:colOff>
      <xdr:row>8</xdr:row>
      <xdr:rowOff>104775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1DCE006B-5AC4-40D3-85C8-328A1B6EAA75}"/>
            </a:ext>
          </a:extLst>
        </xdr:cNvPr>
        <xdr:cNvSpPr/>
      </xdr:nvSpPr>
      <xdr:spPr>
        <a:xfrm>
          <a:off x="9839325" y="1343025"/>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15</xdr:col>
      <xdr:colOff>285750</xdr:colOff>
      <xdr:row>9</xdr:row>
      <xdr:rowOff>57150</xdr:rowOff>
    </xdr:from>
    <xdr:to>
      <xdr:col>17</xdr:col>
      <xdr:colOff>466725</xdr:colOff>
      <xdr:row>12</xdr:row>
      <xdr:rowOff>85725</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F67F8295-DEB3-47AB-BD53-76F64FC910AC}"/>
            </a:ext>
          </a:extLst>
        </xdr:cNvPr>
        <xdr:cNvSpPr/>
      </xdr:nvSpPr>
      <xdr:spPr>
        <a:xfrm>
          <a:off x="9848850" y="2000250"/>
          <a:ext cx="1400175" cy="6286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IR</a:t>
          </a:r>
          <a:r>
            <a:rPr lang="pt-BR" sz="1500" b="1" baseline="0"/>
            <a:t> no Rendimento</a:t>
          </a:r>
          <a:endParaRPr lang="pt-BR" sz="1500" b="1"/>
        </a:p>
      </xdr:txBody>
    </xdr:sp>
    <xdr:clientData/>
  </xdr:twoCellAnchor>
  <xdr:twoCellAnchor>
    <xdr:from>
      <xdr:col>15</xdr:col>
      <xdr:colOff>295275</xdr:colOff>
      <xdr:row>13</xdr:row>
      <xdr:rowOff>19050</xdr:rowOff>
    </xdr:from>
    <xdr:to>
      <xdr:col>17</xdr:col>
      <xdr:colOff>476250</xdr:colOff>
      <xdr:row>15</xdr:row>
      <xdr:rowOff>133350</xdr:rowOff>
    </xdr:to>
    <xdr:sp macro="" textlink="">
      <xdr:nvSpPr>
        <xdr:cNvPr id="5" name="Retângulo 4">
          <a:hlinkClick xmlns:r="http://schemas.openxmlformats.org/officeDocument/2006/relationships" r:id="rId3"/>
          <a:extLst>
            <a:ext uri="{FF2B5EF4-FFF2-40B4-BE49-F238E27FC236}">
              <a16:creationId xmlns:a16="http://schemas.microsoft.com/office/drawing/2014/main" id="{68B83477-0F36-4A43-8C98-A42C112E9CE1}"/>
            </a:ext>
          </a:extLst>
        </xdr:cNvPr>
        <xdr:cNvSpPr/>
      </xdr:nvSpPr>
      <xdr:spPr>
        <a:xfrm>
          <a:off x="9858375" y="276225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Taxas</a:t>
          </a:r>
        </a:p>
      </xdr:txBody>
    </xdr:sp>
    <xdr:clientData/>
  </xdr:twoCellAnchor>
  <xdr:twoCellAnchor>
    <xdr:from>
      <xdr:col>15</xdr:col>
      <xdr:colOff>295275</xdr:colOff>
      <xdr:row>16</xdr:row>
      <xdr:rowOff>47625</xdr:rowOff>
    </xdr:from>
    <xdr:to>
      <xdr:col>17</xdr:col>
      <xdr:colOff>476250</xdr:colOff>
      <xdr:row>18</xdr:row>
      <xdr:rowOff>161925</xdr:rowOff>
    </xdr:to>
    <xdr:sp macro="" textlink="">
      <xdr:nvSpPr>
        <xdr:cNvPr id="6" name="Retângulo 5">
          <a:hlinkClick xmlns:r="http://schemas.openxmlformats.org/officeDocument/2006/relationships" r:id="rId4"/>
          <a:extLst>
            <a:ext uri="{FF2B5EF4-FFF2-40B4-BE49-F238E27FC236}">
              <a16:creationId xmlns:a16="http://schemas.microsoft.com/office/drawing/2014/main" id="{F2F6B8DB-CE0D-4674-BF1F-D5D463D3191D}"/>
            </a:ext>
          </a:extLst>
        </xdr:cNvPr>
        <xdr:cNvSpPr/>
      </xdr:nvSpPr>
      <xdr:spPr>
        <a:xfrm>
          <a:off x="9858375" y="339090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PJ</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17</xdr:col>
      <xdr:colOff>457200</xdr:colOff>
      <xdr:row>1</xdr:row>
      <xdr:rowOff>152400</xdr:rowOff>
    </xdr:from>
    <xdr:to>
      <xdr:col>20</xdr:col>
      <xdr:colOff>9525</xdr:colOff>
      <xdr:row>3</xdr:row>
      <xdr:rowOff>57150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F738F1A-CE40-4B91-BEAB-93C2CF8BD7CE}"/>
            </a:ext>
          </a:extLst>
        </xdr:cNvPr>
        <xdr:cNvSpPr/>
      </xdr:nvSpPr>
      <xdr:spPr>
        <a:xfrm>
          <a:off x="10696575" y="342900"/>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171450</xdr:colOff>
      <xdr:row>3</xdr:row>
      <xdr:rowOff>161925</xdr:rowOff>
    </xdr:from>
    <xdr:to>
      <xdr:col>18</xdr:col>
      <xdr:colOff>361950</xdr:colOff>
      <xdr:row>6</xdr:row>
      <xdr:rowOff>85725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544875F3-2B97-4C44-8BFE-B7011D85CA44}"/>
            </a:ext>
          </a:extLst>
        </xdr:cNvPr>
        <xdr:cNvSpPr/>
      </xdr:nvSpPr>
      <xdr:spPr>
        <a:xfrm>
          <a:off x="10877550" y="952500"/>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16</xdr:col>
      <xdr:colOff>180975</xdr:colOff>
      <xdr:row>7</xdr:row>
      <xdr:rowOff>57150</xdr:rowOff>
    </xdr:from>
    <xdr:to>
      <xdr:col>18</xdr:col>
      <xdr:colOff>361950</xdr:colOff>
      <xdr:row>10</xdr:row>
      <xdr:rowOff>66675</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6790ADF1-2673-4C42-9066-AE2BE61C7EF5}"/>
            </a:ext>
          </a:extLst>
        </xdr:cNvPr>
        <xdr:cNvSpPr/>
      </xdr:nvSpPr>
      <xdr:spPr>
        <a:xfrm>
          <a:off x="10887075" y="1619250"/>
          <a:ext cx="1400175" cy="581025"/>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Classificação Anbima</a:t>
          </a:r>
        </a:p>
      </xdr:txBody>
    </xdr:sp>
    <xdr:clientData/>
  </xdr:twoCellAnchor>
  <xdr:twoCellAnchor>
    <xdr:from>
      <xdr:col>16</xdr:col>
      <xdr:colOff>180975</xdr:colOff>
      <xdr:row>11</xdr:row>
      <xdr:rowOff>19050</xdr:rowOff>
    </xdr:from>
    <xdr:to>
      <xdr:col>18</xdr:col>
      <xdr:colOff>361950</xdr:colOff>
      <xdr:row>13</xdr:row>
      <xdr:rowOff>152400</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40DE13F8-0444-4247-A65B-6AFFBC7725BD}"/>
            </a:ext>
          </a:extLst>
        </xdr:cNvPr>
        <xdr:cNvSpPr/>
      </xdr:nvSpPr>
      <xdr:spPr>
        <a:xfrm>
          <a:off x="10887075" y="234315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FGC</a:t>
          </a:r>
        </a:p>
      </xdr:txBody>
    </xdr:sp>
    <xdr:clientData/>
  </xdr:twoCellAnchor>
  <xdr:twoCellAnchor>
    <xdr:from>
      <xdr:col>16</xdr:col>
      <xdr:colOff>190500</xdr:colOff>
      <xdr:row>14</xdr:row>
      <xdr:rowOff>85725</xdr:rowOff>
    </xdr:from>
    <xdr:to>
      <xdr:col>18</xdr:col>
      <xdr:colOff>371475</xdr:colOff>
      <xdr:row>17</xdr:row>
      <xdr:rowOff>104776</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42191D22-9E72-49F2-A56B-8F8ECBF626F0}"/>
            </a:ext>
          </a:extLst>
        </xdr:cNvPr>
        <xdr:cNvSpPr/>
      </xdr:nvSpPr>
      <xdr:spPr>
        <a:xfrm>
          <a:off x="10896600" y="2981325"/>
          <a:ext cx="1400175" cy="590551"/>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Divisão de</a:t>
          </a:r>
          <a:r>
            <a:rPr lang="pt-BR" sz="1500" b="1" baseline="0"/>
            <a:t> Carteira</a:t>
          </a:r>
          <a:endParaRPr lang="pt-BR" sz="1500" b="1"/>
        </a:p>
      </xdr:txBody>
    </xdr:sp>
    <xdr:clientData/>
  </xdr:twoCellAnchor>
  <xdr:twoCellAnchor>
    <xdr:from>
      <xdr:col>16</xdr:col>
      <xdr:colOff>190500</xdr:colOff>
      <xdr:row>18</xdr:row>
      <xdr:rowOff>28575</xdr:rowOff>
    </xdr:from>
    <xdr:to>
      <xdr:col>18</xdr:col>
      <xdr:colOff>371475</xdr:colOff>
      <xdr:row>20</xdr:row>
      <xdr:rowOff>161925</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A8E8BEB0-FB37-4B23-93C6-3D22F76061E4}"/>
            </a:ext>
          </a:extLst>
        </xdr:cNvPr>
        <xdr:cNvSpPr/>
      </xdr:nvSpPr>
      <xdr:spPr>
        <a:xfrm>
          <a:off x="10896600" y="368617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API</a:t>
          </a:r>
        </a:p>
      </xdr:txBody>
    </xdr:sp>
    <xdr:clientData/>
  </xdr:twoCellAnchor>
  <xdr:twoCellAnchor>
    <xdr:from>
      <xdr:col>16</xdr:col>
      <xdr:colOff>200025</xdr:colOff>
      <xdr:row>21</xdr:row>
      <xdr:rowOff>85725</xdr:rowOff>
    </xdr:from>
    <xdr:to>
      <xdr:col>18</xdr:col>
      <xdr:colOff>381000</xdr:colOff>
      <xdr:row>24</xdr:row>
      <xdr:rowOff>19050</xdr:rowOff>
    </xdr:to>
    <xdr:sp macro="" textlink="">
      <xdr:nvSpPr>
        <xdr:cNvPr id="10" name="Retângulo 9">
          <a:hlinkClick xmlns:r="http://schemas.openxmlformats.org/officeDocument/2006/relationships" r:id="rId6"/>
          <a:extLst>
            <a:ext uri="{FF2B5EF4-FFF2-40B4-BE49-F238E27FC236}">
              <a16:creationId xmlns:a16="http://schemas.microsoft.com/office/drawing/2014/main" id="{4A85D798-4908-43C1-B6FE-8C02EC9D1B95}"/>
            </a:ext>
          </a:extLst>
        </xdr:cNvPr>
        <xdr:cNvSpPr/>
      </xdr:nvSpPr>
      <xdr:spPr>
        <a:xfrm>
          <a:off x="10906125" y="431482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Tabela de IR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361950</xdr:colOff>
      <xdr:row>3</xdr:row>
      <xdr:rowOff>180975</xdr:rowOff>
    </xdr:from>
    <xdr:to>
      <xdr:col>17</xdr:col>
      <xdr:colOff>552450</xdr:colOff>
      <xdr:row>6</xdr:row>
      <xdr:rowOff>104775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3DBF1389-A523-4475-902F-70DC39749E92}"/>
            </a:ext>
          </a:extLst>
        </xdr:cNvPr>
        <xdr:cNvSpPr/>
      </xdr:nvSpPr>
      <xdr:spPr>
        <a:xfrm>
          <a:off x="9925050" y="971550"/>
          <a:ext cx="1409700" cy="514350"/>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15</xdr:col>
      <xdr:colOff>371475</xdr:colOff>
      <xdr:row>7</xdr:row>
      <xdr:rowOff>57150</xdr:rowOff>
    </xdr:from>
    <xdr:to>
      <xdr:col>17</xdr:col>
      <xdr:colOff>552450</xdr:colOff>
      <xdr:row>9</xdr:row>
      <xdr:rowOff>180975</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A2B668EE-0E9C-4B36-8A44-C22C8E811EFA}"/>
            </a:ext>
          </a:extLst>
        </xdr:cNvPr>
        <xdr:cNvSpPr/>
      </xdr:nvSpPr>
      <xdr:spPr>
        <a:xfrm>
          <a:off x="9934575" y="163830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Cálculos Finan.</a:t>
          </a:r>
        </a:p>
      </xdr:txBody>
    </xdr:sp>
    <xdr:clientData/>
  </xdr:twoCellAnchor>
  <xdr:twoCellAnchor>
    <xdr:from>
      <xdr:col>15</xdr:col>
      <xdr:colOff>371475</xdr:colOff>
      <xdr:row>10</xdr:row>
      <xdr:rowOff>114300</xdr:rowOff>
    </xdr:from>
    <xdr:to>
      <xdr:col>17</xdr:col>
      <xdr:colOff>552450</xdr:colOff>
      <xdr:row>13</xdr:row>
      <xdr:rowOff>38100</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31E572C9-AEAD-47CB-8D7B-D0F876BD405C}"/>
            </a:ext>
          </a:extLst>
        </xdr:cNvPr>
        <xdr:cNvSpPr/>
      </xdr:nvSpPr>
      <xdr:spPr>
        <a:xfrm>
          <a:off x="9934575" y="228600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a:t>
          </a:r>
          <a:r>
            <a:rPr lang="pt-BR" sz="1500" b="1" baseline="0"/>
            <a:t> do CDI</a:t>
          </a:r>
          <a:endParaRPr lang="pt-BR" sz="15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285750</xdr:colOff>
      <xdr:row>4</xdr:row>
      <xdr:rowOff>9525</xdr:rowOff>
    </xdr:from>
    <xdr:to>
      <xdr:col>19</xdr:col>
      <xdr:colOff>476250</xdr:colOff>
      <xdr:row>6</xdr:row>
      <xdr:rowOff>123825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5EB956DA-A0E3-4716-AB61-B9474838B834}"/>
            </a:ext>
          </a:extLst>
        </xdr:cNvPr>
        <xdr:cNvSpPr/>
      </xdr:nvSpPr>
      <xdr:spPr>
        <a:xfrm>
          <a:off x="10639425" y="990600"/>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17</xdr:col>
      <xdr:colOff>285750</xdr:colOff>
      <xdr:row>7</xdr:row>
      <xdr:rowOff>76200</xdr:rowOff>
    </xdr:from>
    <xdr:to>
      <xdr:col>19</xdr:col>
      <xdr:colOff>466725</xdr:colOff>
      <xdr:row>10</xdr:row>
      <xdr:rowOff>0</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D7B0FF41-4831-4A0D-8C0A-B0BC8432C894}"/>
            </a:ext>
          </a:extLst>
        </xdr:cNvPr>
        <xdr:cNvSpPr/>
      </xdr:nvSpPr>
      <xdr:spPr>
        <a:xfrm>
          <a:off x="10639425" y="165735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Taxas</a:t>
          </a:r>
        </a:p>
      </xdr:txBody>
    </xdr:sp>
    <xdr:clientData/>
  </xdr:twoCellAnchor>
  <xdr:twoCellAnchor>
    <xdr:from>
      <xdr:col>17</xdr:col>
      <xdr:colOff>285750</xdr:colOff>
      <xdr:row>10</xdr:row>
      <xdr:rowOff>152399</xdr:rowOff>
    </xdr:from>
    <xdr:to>
      <xdr:col>19</xdr:col>
      <xdr:colOff>466725</xdr:colOff>
      <xdr:row>13</xdr:row>
      <xdr:rowOff>161924</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947D35D5-BED6-4406-9D68-A875BA04D3DB}"/>
            </a:ext>
          </a:extLst>
        </xdr:cNvPr>
        <xdr:cNvSpPr/>
      </xdr:nvSpPr>
      <xdr:spPr>
        <a:xfrm>
          <a:off x="10639425" y="2324099"/>
          <a:ext cx="1400175" cy="600075"/>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Operações Matemáticas</a:t>
          </a:r>
        </a:p>
      </xdr:txBody>
    </xdr:sp>
    <xdr:clientData/>
  </xdr:twoCellAnchor>
  <xdr:twoCellAnchor>
    <xdr:from>
      <xdr:col>17</xdr:col>
      <xdr:colOff>276225</xdr:colOff>
      <xdr:row>14</xdr:row>
      <xdr:rowOff>85725</xdr:rowOff>
    </xdr:from>
    <xdr:to>
      <xdr:col>19</xdr:col>
      <xdr:colOff>457200</xdr:colOff>
      <xdr:row>17</xdr:row>
      <xdr:rowOff>47626</xdr:rowOff>
    </xdr:to>
    <xdr:sp macro="" textlink="">
      <xdr:nvSpPr>
        <xdr:cNvPr id="5" name="Retângulo 4">
          <a:hlinkClick xmlns:r="http://schemas.openxmlformats.org/officeDocument/2006/relationships" r:id="rId4"/>
          <a:extLst>
            <a:ext uri="{FF2B5EF4-FFF2-40B4-BE49-F238E27FC236}">
              <a16:creationId xmlns:a16="http://schemas.microsoft.com/office/drawing/2014/main" id="{CF102FDF-816D-4B9D-AA28-0C3C498B4B94}"/>
            </a:ext>
          </a:extLst>
        </xdr:cNvPr>
        <xdr:cNvSpPr/>
      </xdr:nvSpPr>
      <xdr:spPr>
        <a:xfrm>
          <a:off x="10629900" y="3048000"/>
          <a:ext cx="1400175" cy="561976"/>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Corretora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238125</xdr:colOff>
      <xdr:row>3</xdr:row>
      <xdr:rowOff>180975</xdr:rowOff>
    </xdr:from>
    <xdr:to>
      <xdr:col>17</xdr:col>
      <xdr:colOff>428625</xdr:colOff>
      <xdr:row>6</xdr:row>
      <xdr:rowOff>95250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D5C4A4FC-31B4-41C8-9A41-6416D6A039FE}"/>
            </a:ext>
          </a:extLst>
        </xdr:cNvPr>
        <xdr:cNvSpPr/>
      </xdr:nvSpPr>
      <xdr:spPr>
        <a:xfrm>
          <a:off x="10687050" y="971550"/>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15</xdr:col>
      <xdr:colOff>257175</xdr:colOff>
      <xdr:row>7</xdr:row>
      <xdr:rowOff>38100</xdr:rowOff>
    </xdr:from>
    <xdr:to>
      <xdr:col>17</xdr:col>
      <xdr:colOff>438150</xdr:colOff>
      <xdr:row>10</xdr:row>
      <xdr:rowOff>85726</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63D39-471E-4551-A044-7FFAF8E2C781}"/>
            </a:ext>
          </a:extLst>
        </xdr:cNvPr>
        <xdr:cNvSpPr/>
      </xdr:nvSpPr>
      <xdr:spPr>
        <a:xfrm>
          <a:off x="10706100" y="1619250"/>
          <a:ext cx="1400175" cy="590551"/>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Divisão de</a:t>
          </a:r>
          <a:r>
            <a:rPr lang="pt-BR" sz="1500" b="1" baseline="0"/>
            <a:t> Carteira</a:t>
          </a:r>
          <a:endParaRPr lang="pt-BR" sz="1500" b="1"/>
        </a:p>
      </xdr:txBody>
    </xdr:sp>
    <xdr:clientData/>
  </xdr:twoCellAnchor>
  <xdr:twoCellAnchor>
    <xdr:from>
      <xdr:col>15</xdr:col>
      <xdr:colOff>257175</xdr:colOff>
      <xdr:row>11</xdr:row>
      <xdr:rowOff>9525</xdr:rowOff>
    </xdr:from>
    <xdr:to>
      <xdr:col>17</xdr:col>
      <xdr:colOff>438150</xdr:colOff>
      <xdr:row>13</xdr:row>
      <xdr:rowOff>123825</xdr:rowOff>
    </xdr:to>
    <xdr:sp macro="" textlink="">
      <xdr:nvSpPr>
        <xdr:cNvPr id="6" name="Retângulo 5">
          <a:hlinkClick xmlns:r="http://schemas.openxmlformats.org/officeDocument/2006/relationships" r:id="rId3"/>
          <a:extLst>
            <a:ext uri="{FF2B5EF4-FFF2-40B4-BE49-F238E27FC236}">
              <a16:creationId xmlns:a16="http://schemas.microsoft.com/office/drawing/2014/main" id="{62E7C318-58AA-4261-89FA-A17D4EBF4164}"/>
            </a:ext>
          </a:extLst>
        </xdr:cNvPr>
        <xdr:cNvSpPr/>
      </xdr:nvSpPr>
      <xdr:spPr>
        <a:xfrm>
          <a:off x="10706100" y="233362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Taxas</a:t>
          </a:r>
        </a:p>
      </xdr:txBody>
    </xdr:sp>
    <xdr:clientData/>
  </xdr:twoCellAnchor>
  <xdr:twoCellAnchor>
    <xdr:from>
      <xdr:col>15</xdr:col>
      <xdr:colOff>247650</xdr:colOff>
      <xdr:row>14</xdr:row>
      <xdr:rowOff>47625</xdr:rowOff>
    </xdr:from>
    <xdr:to>
      <xdr:col>17</xdr:col>
      <xdr:colOff>428625</xdr:colOff>
      <xdr:row>16</xdr:row>
      <xdr:rowOff>161925</xdr:rowOff>
    </xdr:to>
    <xdr:sp macro="" textlink="">
      <xdr:nvSpPr>
        <xdr:cNvPr id="7" name="Retângulo 6">
          <a:hlinkClick xmlns:r="http://schemas.openxmlformats.org/officeDocument/2006/relationships" r:id="rId4"/>
          <a:extLst>
            <a:ext uri="{FF2B5EF4-FFF2-40B4-BE49-F238E27FC236}">
              <a16:creationId xmlns:a16="http://schemas.microsoft.com/office/drawing/2014/main" id="{764C5744-3C0D-44D3-8CD6-B7D70AE36A56}"/>
            </a:ext>
          </a:extLst>
        </xdr:cNvPr>
        <xdr:cNvSpPr/>
      </xdr:nvSpPr>
      <xdr:spPr>
        <a:xfrm>
          <a:off x="10696575" y="297180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API</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142875</xdr:colOff>
      <xdr:row>3</xdr:row>
      <xdr:rowOff>180975</xdr:rowOff>
    </xdr:from>
    <xdr:to>
      <xdr:col>19</xdr:col>
      <xdr:colOff>333375</xdr:colOff>
      <xdr:row>6</xdr:row>
      <xdr:rowOff>104775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2F80A41F-41A3-4BD9-A9FE-15927E1847B3}"/>
            </a:ext>
          </a:extLst>
        </xdr:cNvPr>
        <xdr:cNvSpPr/>
      </xdr:nvSpPr>
      <xdr:spPr>
        <a:xfrm>
          <a:off x="10810875" y="971550"/>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editAs="oneCell">
    <xdr:from>
      <xdr:col>15</xdr:col>
      <xdr:colOff>104775</xdr:colOff>
      <xdr:row>1</xdr:row>
      <xdr:rowOff>381000</xdr:rowOff>
    </xdr:from>
    <xdr:to>
      <xdr:col>16</xdr:col>
      <xdr:colOff>419100</xdr:colOff>
      <xdr:row>4</xdr:row>
      <xdr:rowOff>142875</xdr:rowOff>
    </xdr:to>
    <xdr:pic>
      <xdr:nvPicPr>
        <xdr:cNvPr id="3" name="Imagem 2" descr="Logo da ANBIMA">
          <a:extLst>
            <a:ext uri="{FF2B5EF4-FFF2-40B4-BE49-F238E27FC236}">
              <a16:creationId xmlns:a16="http://schemas.microsoft.com/office/drawing/2014/main" id="{AB8679E3-8EE0-46B8-8D72-4A8AFD1B79F2}"/>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5789" r="28067" b="42573"/>
        <a:stretch/>
      </xdr:blipFill>
      <xdr:spPr bwMode="auto">
        <a:xfrm>
          <a:off x="8953500" y="571500"/>
          <a:ext cx="923925"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142875</xdr:colOff>
      <xdr:row>7</xdr:row>
      <xdr:rowOff>76200</xdr:rowOff>
    </xdr:from>
    <xdr:to>
      <xdr:col>19</xdr:col>
      <xdr:colOff>323850</xdr:colOff>
      <xdr:row>10</xdr:row>
      <xdr:rowOff>85725</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C771458E-3643-4A42-8738-EFE8A5B540FE}"/>
            </a:ext>
          </a:extLst>
        </xdr:cNvPr>
        <xdr:cNvSpPr/>
      </xdr:nvSpPr>
      <xdr:spPr>
        <a:xfrm>
          <a:off x="10810875" y="1638300"/>
          <a:ext cx="1400175" cy="581025"/>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Tipos de Fundos</a:t>
          </a:r>
        </a:p>
      </xdr:txBody>
    </xdr:sp>
    <xdr:clientData/>
  </xdr:twoCellAnchor>
  <xdr:twoCellAnchor>
    <xdr:from>
      <xdr:col>17</xdr:col>
      <xdr:colOff>142875</xdr:colOff>
      <xdr:row>11</xdr:row>
      <xdr:rowOff>38100</xdr:rowOff>
    </xdr:from>
    <xdr:to>
      <xdr:col>19</xdr:col>
      <xdr:colOff>323850</xdr:colOff>
      <xdr:row>13</xdr:row>
      <xdr:rowOff>171450</xdr:rowOff>
    </xdr:to>
    <xdr:sp macro="" textlink="">
      <xdr:nvSpPr>
        <xdr:cNvPr id="6" name="Retângulo 5">
          <a:hlinkClick xmlns:r="http://schemas.openxmlformats.org/officeDocument/2006/relationships" r:id="rId4"/>
          <a:extLst>
            <a:ext uri="{FF2B5EF4-FFF2-40B4-BE49-F238E27FC236}">
              <a16:creationId xmlns:a16="http://schemas.microsoft.com/office/drawing/2014/main" id="{9F5613B0-5CC8-422F-AC73-A96E97CA13C7}"/>
            </a:ext>
          </a:extLst>
        </xdr:cNvPr>
        <xdr:cNvSpPr/>
      </xdr:nvSpPr>
      <xdr:spPr>
        <a:xfrm>
          <a:off x="10810875" y="236220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FGC</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247650</xdr:colOff>
      <xdr:row>5</xdr:row>
      <xdr:rowOff>0</xdr:rowOff>
    </xdr:from>
    <xdr:to>
      <xdr:col>16</xdr:col>
      <xdr:colOff>438150</xdr:colOff>
      <xdr:row>7</xdr:row>
      <xdr:rowOff>95250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A86A58F9-92E3-49BC-88CC-1663B1F0B9E1}"/>
            </a:ext>
          </a:extLst>
        </xdr:cNvPr>
        <xdr:cNvSpPr/>
      </xdr:nvSpPr>
      <xdr:spPr>
        <a:xfrm>
          <a:off x="8591550" y="1171575"/>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14</xdr:col>
      <xdr:colOff>247650</xdr:colOff>
      <xdr:row>8</xdr:row>
      <xdr:rowOff>47625</xdr:rowOff>
    </xdr:from>
    <xdr:to>
      <xdr:col>16</xdr:col>
      <xdr:colOff>428625</xdr:colOff>
      <xdr:row>11</xdr:row>
      <xdr:rowOff>9525</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D781398A-2A8B-40E9-A2CE-D6BBF52D5EFA}"/>
            </a:ext>
          </a:extLst>
        </xdr:cNvPr>
        <xdr:cNvSpPr/>
      </xdr:nvSpPr>
      <xdr:spPr>
        <a:xfrm>
          <a:off x="9305925" y="1838325"/>
          <a:ext cx="1400175" cy="5905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Preenchimento STVM</a:t>
          </a:r>
        </a:p>
      </xdr:txBody>
    </xdr:sp>
    <xdr:clientData/>
  </xdr:twoCellAnchor>
  <xdr:twoCellAnchor>
    <xdr:from>
      <xdr:col>14</xdr:col>
      <xdr:colOff>238125</xdr:colOff>
      <xdr:row>11</xdr:row>
      <xdr:rowOff>123825</xdr:rowOff>
    </xdr:from>
    <xdr:to>
      <xdr:col>16</xdr:col>
      <xdr:colOff>419100</xdr:colOff>
      <xdr:row>14</xdr:row>
      <xdr:rowOff>95250</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143CF1CF-CBC6-4EC6-951E-E317F1E1C2DC}"/>
            </a:ext>
          </a:extLst>
        </xdr:cNvPr>
        <xdr:cNvSpPr/>
      </xdr:nvSpPr>
      <xdr:spPr>
        <a:xfrm>
          <a:off x="9296400" y="2543175"/>
          <a:ext cx="1400175" cy="600075"/>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Custódia do Tesouro</a:t>
          </a:r>
        </a:p>
      </xdr:txBody>
    </xdr:sp>
    <xdr:clientData/>
  </xdr:twoCellAnchor>
  <xdr:twoCellAnchor>
    <xdr:from>
      <xdr:col>14</xdr:col>
      <xdr:colOff>238125</xdr:colOff>
      <xdr:row>15</xdr:row>
      <xdr:rowOff>9525</xdr:rowOff>
    </xdr:from>
    <xdr:to>
      <xdr:col>16</xdr:col>
      <xdr:colOff>419100</xdr:colOff>
      <xdr:row>17</xdr:row>
      <xdr:rowOff>104775</xdr:rowOff>
    </xdr:to>
    <xdr:sp macro="" textlink="">
      <xdr:nvSpPr>
        <xdr:cNvPr id="5" name="Retângulo 4">
          <a:hlinkClick xmlns:r="http://schemas.openxmlformats.org/officeDocument/2006/relationships" r:id="rId4"/>
          <a:extLst>
            <a:ext uri="{FF2B5EF4-FFF2-40B4-BE49-F238E27FC236}">
              <a16:creationId xmlns:a16="http://schemas.microsoft.com/office/drawing/2014/main" id="{251219F9-8AE1-45AC-87B1-38F4D8A77103}"/>
            </a:ext>
          </a:extLst>
        </xdr:cNvPr>
        <xdr:cNvSpPr/>
      </xdr:nvSpPr>
      <xdr:spPr>
        <a:xfrm>
          <a:off x="9296400" y="326707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Cálculos Finan.</a:t>
          </a:r>
        </a:p>
      </xdr:txBody>
    </xdr:sp>
    <xdr:clientData/>
  </xdr:twoCellAnchor>
  <xdr:twoCellAnchor>
    <xdr:from>
      <xdr:col>14</xdr:col>
      <xdr:colOff>238125</xdr:colOff>
      <xdr:row>18</xdr:row>
      <xdr:rowOff>9525</xdr:rowOff>
    </xdr:from>
    <xdr:to>
      <xdr:col>16</xdr:col>
      <xdr:colOff>419100</xdr:colOff>
      <xdr:row>20</xdr:row>
      <xdr:rowOff>152401</xdr:rowOff>
    </xdr:to>
    <xdr:sp macro="" textlink="">
      <xdr:nvSpPr>
        <xdr:cNvPr id="6" name="Retângulo 5">
          <a:hlinkClick xmlns:r="http://schemas.openxmlformats.org/officeDocument/2006/relationships" r:id="rId5"/>
          <a:extLst>
            <a:ext uri="{FF2B5EF4-FFF2-40B4-BE49-F238E27FC236}">
              <a16:creationId xmlns:a16="http://schemas.microsoft.com/office/drawing/2014/main" id="{7EE33591-4D2B-4C06-8320-71A038FB8E12}"/>
            </a:ext>
          </a:extLst>
        </xdr:cNvPr>
        <xdr:cNvSpPr/>
      </xdr:nvSpPr>
      <xdr:spPr>
        <a:xfrm>
          <a:off x="9296400" y="3895725"/>
          <a:ext cx="1400175" cy="561976"/>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Corretora</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95250</xdr:colOff>
      <xdr:row>3</xdr:row>
      <xdr:rowOff>171450</xdr:rowOff>
    </xdr:from>
    <xdr:to>
      <xdr:col>20</xdr:col>
      <xdr:colOff>285750</xdr:colOff>
      <xdr:row>6</xdr:row>
      <xdr:rowOff>104775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FDF72C9F-93DC-457E-B7DA-8E468B821A94}"/>
            </a:ext>
          </a:extLst>
        </xdr:cNvPr>
        <xdr:cNvSpPr/>
      </xdr:nvSpPr>
      <xdr:spPr>
        <a:xfrm>
          <a:off x="11115675" y="962025"/>
          <a:ext cx="1409700" cy="504825"/>
        </a:xfrm>
        <a:prstGeom prst="roundRect">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Voltar à Capa</a:t>
          </a:r>
        </a:p>
      </xdr:txBody>
    </xdr:sp>
    <xdr:clientData/>
  </xdr:twoCellAnchor>
  <xdr:twoCellAnchor>
    <xdr:from>
      <xdr:col>18</xdr:col>
      <xdr:colOff>104775</xdr:colOff>
      <xdr:row>7</xdr:row>
      <xdr:rowOff>28575</xdr:rowOff>
    </xdr:from>
    <xdr:to>
      <xdr:col>20</xdr:col>
      <xdr:colOff>285750</xdr:colOff>
      <xdr:row>9</xdr:row>
      <xdr:rowOff>161925</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3704F33F-E341-445C-B051-74E37005FBA5}"/>
            </a:ext>
          </a:extLst>
        </xdr:cNvPr>
        <xdr:cNvSpPr/>
      </xdr:nvSpPr>
      <xdr:spPr>
        <a:xfrm>
          <a:off x="11039475" y="1581150"/>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 - Taxas</a:t>
          </a:r>
        </a:p>
      </xdr:txBody>
    </xdr:sp>
    <xdr:clientData/>
  </xdr:twoCellAnchor>
  <xdr:twoCellAnchor>
    <xdr:from>
      <xdr:col>18</xdr:col>
      <xdr:colOff>104775</xdr:colOff>
      <xdr:row>10</xdr:row>
      <xdr:rowOff>95250</xdr:rowOff>
    </xdr:from>
    <xdr:to>
      <xdr:col>20</xdr:col>
      <xdr:colOff>285750</xdr:colOff>
      <xdr:row>13</xdr:row>
      <xdr:rowOff>38100</xdr:rowOff>
    </xdr:to>
    <xdr:sp macro="" textlink="">
      <xdr:nvSpPr>
        <xdr:cNvPr id="5" name="Retângulo 4">
          <a:hlinkClick xmlns:r="http://schemas.openxmlformats.org/officeDocument/2006/relationships" r:id="rId3"/>
          <a:extLst>
            <a:ext uri="{FF2B5EF4-FFF2-40B4-BE49-F238E27FC236}">
              <a16:creationId xmlns:a16="http://schemas.microsoft.com/office/drawing/2014/main" id="{5C0B3657-9B15-447A-852E-32329E1D30C0}"/>
            </a:ext>
          </a:extLst>
        </xdr:cNvPr>
        <xdr:cNvSpPr/>
      </xdr:nvSpPr>
      <xdr:spPr>
        <a:xfrm>
          <a:off x="11039475" y="221932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Cálculos Finan.</a:t>
          </a:r>
        </a:p>
      </xdr:txBody>
    </xdr:sp>
    <xdr:clientData/>
  </xdr:twoCellAnchor>
  <xdr:twoCellAnchor>
    <xdr:from>
      <xdr:col>18</xdr:col>
      <xdr:colOff>104775</xdr:colOff>
      <xdr:row>13</xdr:row>
      <xdr:rowOff>171450</xdr:rowOff>
    </xdr:from>
    <xdr:to>
      <xdr:col>20</xdr:col>
      <xdr:colOff>285750</xdr:colOff>
      <xdr:row>16</xdr:row>
      <xdr:rowOff>114300</xdr:rowOff>
    </xdr:to>
    <xdr:sp macro="" textlink="">
      <xdr:nvSpPr>
        <xdr:cNvPr id="6" name="Retângulo 5">
          <a:hlinkClick xmlns:r="http://schemas.openxmlformats.org/officeDocument/2006/relationships" r:id="rId4"/>
          <a:extLst>
            <a:ext uri="{FF2B5EF4-FFF2-40B4-BE49-F238E27FC236}">
              <a16:creationId xmlns:a16="http://schemas.microsoft.com/office/drawing/2014/main" id="{A316FE67-C7DC-4F60-AE3A-67FA77978CF8}"/>
            </a:ext>
          </a:extLst>
        </xdr:cNvPr>
        <xdr:cNvSpPr/>
      </xdr:nvSpPr>
      <xdr:spPr>
        <a:xfrm>
          <a:off x="11039475" y="2867025"/>
          <a:ext cx="1400175" cy="514350"/>
        </a:xfrm>
        <a:prstGeom prst="rect">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t>%</a:t>
          </a:r>
          <a:r>
            <a:rPr lang="pt-BR" sz="1500" b="1" baseline="0"/>
            <a:t> do CDI</a:t>
          </a:r>
          <a:endParaRPr lang="pt-BR" sz="15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harioncamargo.com/"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https://br.advfn.com/investimentos/futuros/di-depositos-interfinanceiros/cotacoes" TargetMode="Externa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hyperlink" Target="http://www.anbima.com.br/vna/vna.asp" TargetMode="Externa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F3:O18"/>
  <sheetViews>
    <sheetView tabSelected="1" workbookViewId="0"/>
  </sheetViews>
  <sheetFormatPr defaultRowHeight="15" x14ac:dyDescent="0.25"/>
  <cols>
    <col min="1" max="5" width="9.28515625" style="1" customWidth="1"/>
    <col min="6" max="15" width="10" style="1" customWidth="1"/>
    <col min="16" max="16384" width="9.140625" style="1"/>
  </cols>
  <sheetData>
    <row r="3" spans="6:15" x14ac:dyDescent="0.25">
      <c r="F3" s="59" t="s">
        <v>2</v>
      </c>
      <c r="G3" s="59"/>
      <c r="H3" s="59"/>
      <c r="I3" s="59"/>
      <c r="J3" s="59"/>
      <c r="K3" s="59"/>
      <c r="L3" s="59"/>
      <c r="M3" s="59"/>
      <c r="N3" s="59"/>
      <c r="O3" s="59"/>
    </row>
    <row r="6" spans="6:15" ht="32.25" x14ac:dyDescent="0.5">
      <c r="F6" s="58" t="s">
        <v>0</v>
      </c>
      <c r="G6" s="58"/>
      <c r="H6" s="58"/>
      <c r="I6" s="58"/>
      <c r="J6" s="58"/>
      <c r="K6" s="58"/>
      <c r="L6" s="58"/>
      <c r="M6" s="58"/>
      <c r="N6" s="58"/>
      <c r="O6" s="58"/>
    </row>
    <row r="7" spans="6:15" ht="32.25" x14ac:dyDescent="0.5">
      <c r="F7" s="57" t="s">
        <v>1</v>
      </c>
      <c r="G7" s="57"/>
      <c r="H7" s="57"/>
      <c r="I7" s="57"/>
      <c r="J7" s="57"/>
      <c r="K7" s="57"/>
      <c r="L7" s="57"/>
      <c r="M7" s="57"/>
      <c r="N7" s="57"/>
      <c r="O7" s="57"/>
    </row>
    <row r="8" spans="6:15" x14ac:dyDescent="0.25">
      <c r="F8" s="60" t="s">
        <v>62</v>
      </c>
      <c r="G8" s="60"/>
      <c r="H8" s="60"/>
      <c r="I8" s="60"/>
      <c r="J8" s="60"/>
      <c r="K8" s="60"/>
      <c r="L8" s="60"/>
      <c r="M8" s="60"/>
      <c r="N8" s="60"/>
      <c r="O8" s="60"/>
    </row>
    <row r="11" spans="6:15" x14ac:dyDescent="0.25">
      <c r="F11" s="62" t="s">
        <v>3</v>
      </c>
      <c r="G11" s="62"/>
      <c r="H11" s="62"/>
      <c r="I11" s="62"/>
      <c r="J11" s="62"/>
      <c r="K11" s="62"/>
      <c r="L11" s="62"/>
      <c r="M11" s="62"/>
      <c r="N11" s="62"/>
      <c r="O11" s="62"/>
    </row>
    <row r="12" spans="6:15" x14ac:dyDescent="0.25">
      <c r="F12" s="56" t="s">
        <v>4</v>
      </c>
      <c r="G12" s="56"/>
      <c r="H12" s="56" t="s">
        <v>5</v>
      </c>
      <c r="I12" s="56"/>
      <c r="J12" s="56" t="s">
        <v>6</v>
      </c>
      <c r="K12" s="56"/>
      <c r="L12" s="56" t="s">
        <v>7</v>
      </c>
      <c r="M12" s="56"/>
      <c r="N12" s="56" t="s">
        <v>8</v>
      </c>
      <c r="O12" s="56"/>
    </row>
    <row r="13" spans="6:15" x14ac:dyDescent="0.25">
      <c r="F13" s="56" t="s">
        <v>9</v>
      </c>
      <c r="G13" s="56"/>
      <c r="H13" s="56" t="s">
        <v>10</v>
      </c>
      <c r="I13" s="56"/>
      <c r="J13" s="56" t="s">
        <v>11</v>
      </c>
      <c r="K13" s="56"/>
      <c r="L13" s="56" t="s">
        <v>36</v>
      </c>
      <c r="M13" s="56"/>
      <c r="N13" s="56" t="s">
        <v>12</v>
      </c>
      <c r="O13" s="56"/>
    </row>
    <row r="14" spans="6:15" x14ac:dyDescent="0.25">
      <c r="F14" s="56" t="s">
        <v>13</v>
      </c>
      <c r="G14" s="56"/>
      <c r="H14" s="56" t="s">
        <v>14</v>
      </c>
      <c r="I14" s="56"/>
      <c r="J14" s="56" t="s">
        <v>15</v>
      </c>
      <c r="K14" s="56"/>
      <c r="L14" s="56" t="s">
        <v>16</v>
      </c>
      <c r="M14" s="56"/>
      <c r="N14" s="56" t="s">
        <v>17</v>
      </c>
      <c r="O14" s="56"/>
    </row>
    <row r="15" spans="6:15" x14ac:dyDescent="0.25">
      <c r="F15" s="56" t="s">
        <v>18</v>
      </c>
      <c r="G15" s="56"/>
      <c r="H15" s="56" t="s">
        <v>19</v>
      </c>
      <c r="I15" s="56"/>
      <c r="J15" s="56" t="s">
        <v>20</v>
      </c>
      <c r="K15" s="56"/>
      <c r="L15" s="56" t="s">
        <v>21</v>
      </c>
      <c r="M15" s="56"/>
      <c r="N15" s="56" t="s">
        <v>22</v>
      </c>
      <c r="O15" s="56"/>
    </row>
    <row r="16" spans="6:15" x14ac:dyDescent="0.25">
      <c r="F16" s="56" t="s">
        <v>23</v>
      </c>
      <c r="G16" s="56"/>
      <c r="H16" s="56" t="s">
        <v>24</v>
      </c>
      <c r="I16" s="56"/>
      <c r="J16" s="56" t="s">
        <v>25</v>
      </c>
      <c r="K16" s="56"/>
      <c r="L16" s="56" t="s">
        <v>26</v>
      </c>
      <c r="M16" s="56"/>
      <c r="N16" s="56" t="s">
        <v>27</v>
      </c>
      <c r="O16" s="56"/>
    </row>
    <row r="17" spans="6:15" x14ac:dyDescent="0.25">
      <c r="F17" s="56" t="s">
        <v>28</v>
      </c>
      <c r="G17" s="56"/>
      <c r="H17" s="56" t="s">
        <v>29</v>
      </c>
      <c r="I17" s="56"/>
      <c r="J17" s="56" t="s">
        <v>30</v>
      </c>
      <c r="K17" s="56"/>
      <c r="L17" s="56" t="s">
        <v>31</v>
      </c>
      <c r="M17" s="56"/>
      <c r="N17" s="56" t="s">
        <v>32</v>
      </c>
      <c r="O17" s="56"/>
    </row>
    <row r="18" spans="6:15" x14ac:dyDescent="0.25">
      <c r="H18" s="56" t="s">
        <v>33</v>
      </c>
      <c r="I18" s="56"/>
      <c r="J18" s="56" t="s">
        <v>34</v>
      </c>
      <c r="K18" s="56"/>
      <c r="L18" s="56" t="s">
        <v>35</v>
      </c>
      <c r="M18" s="56"/>
    </row>
  </sheetData>
  <mergeCells count="38">
    <mergeCell ref="F7:O7"/>
    <mergeCell ref="F6:O6"/>
    <mergeCell ref="F3:O3"/>
    <mergeCell ref="F8:O8"/>
    <mergeCell ref="N17:O17"/>
    <mergeCell ref="H18:I18"/>
    <mergeCell ref="J18:K18"/>
    <mergeCell ref="L18:M18"/>
    <mergeCell ref="F11:O11"/>
    <mergeCell ref="N15:O15"/>
    <mergeCell ref="F16:G16"/>
    <mergeCell ref="H16:I16"/>
    <mergeCell ref="J16:K16"/>
    <mergeCell ref="L16:M16"/>
    <mergeCell ref="N16:O16"/>
    <mergeCell ref="F17:G17"/>
    <mergeCell ref="H17:I17"/>
    <mergeCell ref="J17:K17"/>
    <mergeCell ref="L17:M17"/>
    <mergeCell ref="F14:G14"/>
    <mergeCell ref="H14:I14"/>
    <mergeCell ref="J14:K14"/>
    <mergeCell ref="L14:M14"/>
    <mergeCell ref="N14:O14"/>
    <mergeCell ref="F15:G15"/>
    <mergeCell ref="H15:I15"/>
    <mergeCell ref="J15:K15"/>
    <mergeCell ref="L15:M15"/>
    <mergeCell ref="F12:G12"/>
    <mergeCell ref="H12:I12"/>
    <mergeCell ref="J12:K12"/>
    <mergeCell ref="L12:M12"/>
    <mergeCell ref="N12:O12"/>
    <mergeCell ref="F13:G13"/>
    <mergeCell ref="H13:I13"/>
    <mergeCell ref="J13:K13"/>
    <mergeCell ref="L13:M13"/>
    <mergeCell ref="N13:O13"/>
  </mergeCells>
  <hyperlinks>
    <hyperlink ref="F12:G12" location="'% CDI'!A1" display="% CDI" xr:uid="{843A1C30-B30D-4961-823A-85D7D00163AB}"/>
    <hyperlink ref="H12:I12" location="'API (Suitability)'!A1" display="API (Suitability)" xr:uid="{970AFF1C-C0D0-4666-9720-BC5A383582FF}"/>
    <hyperlink ref="J12:K12" location="'Cálculo - Corretora'!A1" display="Cálculo - Corretora" xr:uid="{2CE9388C-2108-4C0C-9FE6-B7FEA9E2A672}"/>
    <hyperlink ref="L12:M12" location="'Cálculo de Taxas'!A1" display="Cálculo de Taxas" xr:uid="{1417B3C0-6B43-480F-9DDA-09FFE2E8C47C}"/>
    <hyperlink ref="N12:O12" location="'Cálculos Financeiros'!A1" display="Cálculos Financeiros" xr:uid="{1D7C21FF-6AD3-4155-991D-5C7003042EF9}"/>
    <hyperlink ref="F13:G13" location="'Carteira dois Clicks'!A1" display="Carteira dois Click" xr:uid="{96FDF84E-F81F-43A2-A658-DCFF0AC526FA}"/>
    <hyperlink ref="H13:I13" location="'Classificação Anbima'!A1" display="Classificação Anbima" xr:uid="{6A64CC93-FB29-42FA-B076-D2CE1C1BAA26}"/>
    <hyperlink ref="J13:K13" location="'Códigos STVM'!A1" display="Códigos STVM" xr:uid="{708335F2-4816-4301-81E2-9EA38ACD181E}"/>
    <hyperlink ref="L13:M13" location="'Come Cotas x VGBL'!A1" display="Come Cotas x VGBL" xr:uid="{F83E59FB-E078-4F9E-BA5E-10D458106CBC}"/>
    <hyperlink ref="N13:O13" location="'Custódia - Tesouro'!A1" display="Custódia - Tesouro" xr:uid="{DA5D691A-C0B5-41CE-9391-F8D7B4F7596E}"/>
    <hyperlink ref="F14:G14" location="'Datas - IR'!A1" display="Datas - IR" xr:uid="{C74DB20B-0C2E-46BD-AEFE-ABD2A9FAD6A0}"/>
    <hyperlink ref="H14:I14" location="'Divisão de Carteira'!A1" display="Divisão de Carteira" xr:uid="{6509E4E9-5B79-4F9C-A00E-0FCFBE032E38}"/>
    <hyperlink ref="J14:K14" location="FGC!A1" display="FGC" xr:uid="{EB8ACB2B-1DC9-4010-A06C-AE41ED421A96}"/>
    <hyperlink ref="L14:M14" location="IOF!A1" display="IOF" xr:uid="{7D69E3A7-1FEA-4B30-BD00-D6DC42D2F71F}"/>
    <hyperlink ref="N14:O14" location="'IR no Rendimento'!A1" display="IR no Rendimento" xr:uid="{F254A8E2-A7E5-4009-A4A6-97D73986EA68}"/>
    <hyperlink ref="F15:G15" location="Ligações!A1" display="Ligações" xr:uid="{FC71CC74-E34E-447B-8E0E-BAF0D87038E5}"/>
    <hyperlink ref="H15:I15" location="'Migração de Fundos'!A1" display="Migração de Fundos" xr:uid="{D30AFB46-9946-4620-8C18-811A96D6311A}"/>
    <hyperlink ref="J15:K15" location="Notícias!A1" display="Notícias" xr:uid="{1CEA56D7-3FAD-4D3C-A42E-BA8952BFB787}"/>
    <hyperlink ref="L15:M15" location="'Operações Matemáticas'!A1" display="Op. Matemáticas" xr:uid="{81864B62-68FA-416C-A2E5-D3DC80A8B503}"/>
    <hyperlink ref="N15:O15" location="PJ!A1" display="PJ" xr:uid="{C22C25B0-C81D-4FCC-B221-7E60164AA247}"/>
    <hyperlink ref="F16:G16" location="Porcentagem!A1" display="Porcentagem" xr:uid="{346E45EB-B82B-4226-AE2A-45D3DDAB0EE4}"/>
    <hyperlink ref="H16:I16" location="'Pós x Pré Fixados'!A1" display="Pós x Pré Fixados" xr:uid="{6AFB31C2-6C01-47CE-A10C-88198A336915}"/>
    <hyperlink ref="J16:K16" location="'Proporção - VGBL'!A1" display="Proporção - VGBL" xr:uid="{529F8A02-D8B6-46F3-A9F9-D32719EDE2B8}"/>
    <hyperlink ref="L16:M16" location="PU!A1" display="PU" xr:uid="{340AECEA-C9AC-4747-A4CE-A474EC2B692E}"/>
    <hyperlink ref="N16:O16" location="Ratings!A1" display="Ratings" xr:uid="{78417B0E-176E-4F3D-8D77-2FCA8979E422}"/>
    <hyperlink ref="F17:G17" location="'Renda Vitalícia'!A1" display="Renda Vitalícia" xr:uid="{6934BA2C-2F9D-459E-9BC8-82E230571FA6}"/>
    <hyperlink ref="H17:I17" location="'S&amp;P 500'!A1" display="S&amp;P 500" xr:uid="{EC24270C-9138-4DF2-95B6-E67C7A4315DB}"/>
    <hyperlink ref="J17:K17" location="'Sharpe da Carteira'!A1" display="Sharpe da Carteira" xr:uid="{5FE7523B-C7F8-45CE-952A-7DF4C268E4AE}"/>
    <hyperlink ref="L17:M17" location="'Simulação - Yield'!A1" display="Simulação - Yield" xr:uid="{90DAAF93-5B67-4F7B-A55C-F7F499D020B2}"/>
    <hyperlink ref="N17:O17" location="STVM!A1" display="STVM" xr:uid="{E29E8996-5277-4064-9634-2EC1B36A11D1}"/>
    <hyperlink ref="H18:I18" location="'Tabela de IR'!A1" display="Tabela de IR" xr:uid="{4D825FD9-77C3-4440-85D0-8CE2D777F444}"/>
    <hyperlink ref="J18:K18" location="'Taxa de ADM'!A1" display="Taxa de ADM" xr:uid="{2ABB2AEC-9E19-4173-B675-3C63ACB17F62}"/>
    <hyperlink ref="L18:M18" location="'Tipos de Fundos'!A1" display="Tipos de Fundos" xr:uid="{278A6E9C-09B1-4A05-AA73-8101F7D03193}"/>
    <hyperlink ref="F3:O3" r:id="rId1" display="Desenvolvido por Harion Camargo" xr:uid="{5A6EF65C-D9AC-4A9B-8C03-78580D62FD6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27FEC-2C08-45AC-8EE1-AB2C7C0E081A}">
  <sheetPr>
    <tabColor theme="4" tint="-0.499984740745262"/>
  </sheetPr>
  <dimension ref="B2:S125"/>
  <sheetViews>
    <sheetView workbookViewId="0">
      <selection activeCell="B2" sqref="B2:S2"/>
    </sheetView>
  </sheetViews>
  <sheetFormatPr defaultRowHeight="15" x14ac:dyDescent="0.25"/>
  <cols>
    <col min="1" max="1" width="7.85546875" style="1" customWidth="1"/>
    <col min="2" max="4" width="10.42578125" style="1" customWidth="1"/>
    <col min="5" max="6" width="8.85546875" style="1" customWidth="1"/>
    <col min="7" max="7" width="7.85546875" style="1" customWidth="1"/>
    <col min="8" max="10" width="9.140625" style="1"/>
    <col min="11" max="11" width="7.85546875" style="1" customWidth="1"/>
    <col min="12" max="16384" width="9.140625" style="1"/>
  </cols>
  <sheetData>
    <row r="2" spans="2:19" ht="32.25" x14ac:dyDescent="0.25">
      <c r="B2" s="70" t="s">
        <v>36</v>
      </c>
      <c r="C2" s="70"/>
      <c r="D2" s="70"/>
      <c r="E2" s="70"/>
      <c r="F2" s="70"/>
      <c r="G2" s="70"/>
      <c r="H2" s="70"/>
      <c r="I2" s="70"/>
      <c r="J2" s="70"/>
      <c r="K2" s="70"/>
      <c r="L2" s="70"/>
      <c r="M2" s="70"/>
      <c r="N2" s="70"/>
      <c r="O2" s="70"/>
      <c r="P2" s="70"/>
      <c r="Q2" s="70"/>
      <c r="R2" s="70"/>
      <c r="S2" s="70"/>
    </row>
    <row r="5" spans="2:19" x14ac:dyDescent="0.25">
      <c r="B5" s="251" t="s">
        <v>335</v>
      </c>
      <c r="C5" s="251"/>
      <c r="D5" s="251"/>
      <c r="E5" s="251"/>
      <c r="F5" s="251"/>
      <c r="H5" s="290" t="s">
        <v>342</v>
      </c>
      <c r="I5" s="251" t="s">
        <v>499</v>
      </c>
      <c r="J5" s="251"/>
      <c r="L5" s="290" t="s">
        <v>342</v>
      </c>
      <c r="M5" s="251" t="s">
        <v>495</v>
      </c>
      <c r="N5" s="251"/>
      <c r="O5" s="251" t="s">
        <v>553</v>
      </c>
      <c r="P5" s="251"/>
      <c r="Q5" s="251" t="s">
        <v>499</v>
      </c>
      <c r="R5" s="251"/>
    </row>
    <row r="6" spans="2:19" x14ac:dyDescent="0.25">
      <c r="B6" s="296" t="s">
        <v>545</v>
      </c>
      <c r="C6" s="296"/>
      <c r="D6" s="296"/>
      <c r="E6" s="252">
        <v>100000</v>
      </c>
      <c r="F6" s="252"/>
      <c r="H6" s="258" t="s">
        <v>435</v>
      </c>
      <c r="I6" s="259">
        <f>E13*(1+E8)</f>
        <v>100472.50000000001</v>
      </c>
      <c r="J6" s="61"/>
      <c r="L6" s="258" t="s">
        <v>435</v>
      </c>
      <c r="M6" s="252">
        <f>E18*(1+$E$9)</f>
        <v>100600</v>
      </c>
      <c r="N6" s="252"/>
      <c r="O6" s="252">
        <v>0</v>
      </c>
      <c r="P6" s="252"/>
      <c r="Q6" s="252">
        <f>M6-O6</f>
        <v>100600</v>
      </c>
      <c r="R6" s="252"/>
    </row>
    <row r="7" spans="2:19" x14ac:dyDescent="0.25">
      <c r="B7" s="295" t="s">
        <v>550</v>
      </c>
      <c r="C7" s="295"/>
      <c r="D7" s="295"/>
      <c r="E7" s="97">
        <v>0</v>
      </c>
      <c r="F7" s="97"/>
      <c r="H7" s="258" t="s">
        <v>436</v>
      </c>
      <c r="I7" s="298">
        <f>I6*(1+$E$8)</f>
        <v>100947.23256250002</v>
      </c>
      <c r="J7" s="298"/>
      <c r="L7" s="258" t="s">
        <v>436</v>
      </c>
      <c r="M7" s="252">
        <f>Q6*(1+$E$9)</f>
        <v>101203.6</v>
      </c>
      <c r="N7" s="252"/>
      <c r="O7" s="252">
        <v>0</v>
      </c>
      <c r="P7" s="252"/>
      <c r="Q7" s="252">
        <f t="shared" ref="Q7:Q70" si="0">M7-O7</f>
        <v>101203.6</v>
      </c>
      <c r="R7" s="252"/>
    </row>
    <row r="8" spans="2:19" x14ac:dyDescent="0.25">
      <c r="B8" s="295" t="s">
        <v>551</v>
      </c>
      <c r="C8" s="295"/>
      <c r="D8" s="295"/>
      <c r="E8" s="297">
        <v>4.725E-3</v>
      </c>
      <c r="F8" s="297"/>
      <c r="H8" s="258" t="s">
        <v>437</v>
      </c>
      <c r="I8" s="298">
        <f>I7*(1+$E$8)</f>
        <v>101424.20823635785</v>
      </c>
      <c r="J8" s="298"/>
      <c r="L8" s="258" t="s">
        <v>437</v>
      </c>
      <c r="M8" s="252">
        <f t="shared" ref="M8:M71" si="1">Q7*(1+$E$9)</f>
        <v>101810.82160000001</v>
      </c>
      <c r="N8" s="252"/>
      <c r="O8" s="252">
        <v>0</v>
      </c>
      <c r="P8" s="252"/>
      <c r="Q8" s="252">
        <f t="shared" si="0"/>
        <v>101810.82160000001</v>
      </c>
      <c r="R8" s="252"/>
    </row>
    <row r="9" spans="2:19" x14ac:dyDescent="0.25">
      <c r="B9" s="295" t="s">
        <v>552</v>
      </c>
      <c r="C9" s="295"/>
      <c r="D9" s="295"/>
      <c r="E9" s="297">
        <v>6.0000000000000001E-3</v>
      </c>
      <c r="F9" s="297"/>
      <c r="H9" s="258" t="s">
        <v>438</v>
      </c>
      <c r="I9" s="298">
        <f t="shared" ref="I9:I72" si="2">I8*(1+$E$8)</f>
        <v>101903.43762027465</v>
      </c>
      <c r="J9" s="298"/>
      <c r="L9" s="258" t="s">
        <v>438</v>
      </c>
      <c r="M9" s="252">
        <f t="shared" si="1"/>
        <v>102421.68652960002</v>
      </c>
      <c r="N9" s="252"/>
      <c r="O9" s="252">
        <v>0</v>
      </c>
      <c r="P9" s="252"/>
      <c r="Q9" s="252">
        <f t="shared" si="0"/>
        <v>102421.68652960002</v>
      </c>
      <c r="R9" s="252"/>
    </row>
    <row r="10" spans="2:19" x14ac:dyDescent="0.25">
      <c r="B10" s="295" t="s">
        <v>553</v>
      </c>
      <c r="C10" s="295"/>
      <c r="D10" s="295"/>
      <c r="E10" s="97">
        <v>0.15</v>
      </c>
      <c r="F10" s="97"/>
      <c r="H10" s="258" t="s">
        <v>439</v>
      </c>
      <c r="I10" s="298">
        <f t="shared" si="2"/>
        <v>102384.93136303045</v>
      </c>
      <c r="J10" s="298"/>
      <c r="L10" s="258" t="s">
        <v>439</v>
      </c>
      <c r="M10" s="252">
        <f t="shared" si="1"/>
        <v>103036.21664877761</v>
      </c>
      <c r="N10" s="252"/>
      <c r="O10" s="252">
        <v>0</v>
      </c>
      <c r="P10" s="252"/>
      <c r="Q10" s="252">
        <f t="shared" si="0"/>
        <v>103036.21664877761</v>
      </c>
      <c r="R10" s="252"/>
    </row>
    <row r="11" spans="2:19" x14ac:dyDescent="0.25">
      <c r="H11" s="262" t="s">
        <v>440</v>
      </c>
      <c r="I11" s="299">
        <f t="shared" si="2"/>
        <v>102868.70016372079</v>
      </c>
      <c r="J11" s="299"/>
      <c r="L11" s="262" t="s">
        <v>440</v>
      </c>
      <c r="M11" s="300">
        <f t="shared" si="1"/>
        <v>103654.43394867028</v>
      </c>
      <c r="N11" s="300"/>
      <c r="O11" s="300">
        <f>(M11-$E$6)*($E$10)</f>
        <v>548.16509230054214</v>
      </c>
      <c r="P11" s="300"/>
      <c r="Q11" s="300">
        <f t="shared" si="0"/>
        <v>103106.26885636974</v>
      </c>
      <c r="R11" s="300"/>
    </row>
    <row r="12" spans="2:19" x14ac:dyDescent="0.25">
      <c r="B12" s="251" t="s">
        <v>554</v>
      </c>
      <c r="C12" s="251"/>
      <c r="D12" s="251"/>
      <c r="E12" s="251"/>
      <c r="F12" s="251"/>
      <c r="H12" s="258" t="s">
        <v>441</v>
      </c>
      <c r="I12" s="298">
        <f t="shared" si="2"/>
        <v>103354.75477199438</v>
      </c>
      <c r="J12" s="298"/>
      <c r="L12" s="258" t="s">
        <v>441</v>
      </c>
      <c r="M12" s="252">
        <f t="shared" si="1"/>
        <v>103724.90646950796</v>
      </c>
      <c r="N12" s="252"/>
      <c r="O12" s="252">
        <v>0</v>
      </c>
      <c r="P12" s="252"/>
      <c r="Q12" s="252">
        <f t="shared" si="0"/>
        <v>103724.90646950796</v>
      </c>
      <c r="R12" s="252"/>
    </row>
    <row r="13" spans="2:19" x14ac:dyDescent="0.25">
      <c r="B13" s="295" t="s">
        <v>555</v>
      </c>
      <c r="C13" s="295"/>
      <c r="D13" s="295"/>
      <c r="E13" s="256">
        <f>E6-(E6*E7)</f>
        <v>100000</v>
      </c>
      <c r="F13" s="253"/>
      <c r="H13" s="258" t="s">
        <v>442</v>
      </c>
      <c r="I13" s="298">
        <f t="shared" si="2"/>
        <v>103843.10598829207</v>
      </c>
      <c r="J13" s="298"/>
      <c r="L13" s="258" t="s">
        <v>442</v>
      </c>
      <c r="M13" s="252">
        <f t="shared" si="1"/>
        <v>104347.25590832501</v>
      </c>
      <c r="N13" s="252"/>
      <c r="O13" s="252">
        <v>0</v>
      </c>
      <c r="P13" s="252"/>
      <c r="Q13" s="252">
        <f t="shared" si="0"/>
        <v>104347.25590832501</v>
      </c>
      <c r="R13" s="252"/>
    </row>
    <row r="14" spans="2:19" x14ac:dyDescent="0.25">
      <c r="B14" s="295" t="s">
        <v>622</v>
      </c>
      <c r="C14" s="295"/>
      <c r="D14" s="295"/>
      <c r="E14" s="256">
        <f>E7*E6</f>
        <v>0</v>
      </c>
      <c r="F14" s="253"/>
      <c r="H14" s="258" t="s">
        <v>443</v>
      </c>
      <c r="I14" s="298">
        <f t="shared" si="2"/>
        <v>104333.76466408676</v>
      </c>
      <c r="J14" s="298"/>
      <c r="L14" s="258" t="s">
        <v>443</v>
      </c>
      <c r="M14" s="252">
        <f t="shared" si="1"/>
        <v>104973.33944377497</v>
      </c>
      <c r="N14" s="252"/>
      <c r="O14" s="252">
        <v>0</v>
      </c>
      <c r="P14" s="252"/>
      <c r="Q14" s="252">
        <f t="shared" si="0"/>
        <v>104973.33944377497</v>
      </c>
      <c r="R14" s="252"/>
    </row>
    <row r="15" spans="2:19" x14ac:dyDescent="0.25">
      <c r="B15" s="295" t="s">
        <v>556</v>
      </c>
      <c r="C15" s="295"/>
      <c r="D15" s="295"/>
      <c r="E15" s="256">
        <f>((I125-E13)*(1-0.15))+E13</f>
        <v>164652.49758027898</v>
      </c>
      <c r="F15" s="253"/>
      <c r="H15" s="258" t="s">
        <v>444</v>
      </c>
      <c r="I15" s="298">
        <f t="shared" si="2"/>
        <v>104826.74170212458</v>
      </c>
      <c r="J15" s="298"/>
      <c r="L15" s="258" t="s">
        <v>444</v>
      </c>
      <c r="M15" s="252">
        <f t="shared" si="1"/>
        <v>105603.17948043761</v>
      </c>
      <c r="N15" s="252"/>
      <c r="O15" s="252">
        <v>0</v>
      </c>
      <c r="P15" s="252"/>
      <c r="Q15" s="252">
        <f t="shared" si="0"/>
        <v>105603.17948043761</v>
      </c>
      <c r="R15" s="252"/>
    </row>
    <row r="16" spans="2:19" x14ac:dyDescent="0.25">
      <c r="B16" s="295" t="s">
        <v>557</v>
      </c>
      <c r="C16" s="295"/>
      <c r="D16" s="295"/>
      <c r="E16" s="256">
        <f>((I125-E13)*(1-0.1))+E13</f>
        <v>168455.58567323658</v>
      </c>
      <c r="F16" s="253"/>
      <c r="H16" s="258" t="s">
        <v>445</v>
      </c>
      <c r="I16" s="298">
        <f t="shared" si="2"/>
        <v>105322.04805666713</v>
      </c>
      <c r="J16" s="298"/>
      <c r="L16" s="258" t="s">
        <v>445</v>
      </c>
      <c r="M16" s="252">
        <f t="shared" si="1"/>
        <v>106236.79855732023</v>
      </c>
      <c r="N16" s="252"/>
      <c r="O16" s="252">
        <v>0</v>
      </c>
      <c r="P16" s="252"/>
      <c r="Q16" s="252">
        <f t="shared" si="0"/>
        <v>106236.79855732023</v>
      </c>
      <c r="R16" s="252"/>
    </row>
    <row r="17" spans="2:18" x14ac:dyDescent="0.25">
      <c r="H17" s="262" t="s">
        <v>446</v>
      </c>
      <c r="I17" s="299">
        <f t="shared" si="2"/>
        <v>105819.6947337349</v>
      </c>
      <c r="J17" s="299"/>
      <c r="L17" s="262" t="s">
        <v>446</v>
      </c>
      <c r="M17" s="300">
        <f t="shared" si="1"/>
        <v>106874.21934866415</v>
      </c>
      <c r="N17" s="300"/>
      <c r="O17" s="300">
        <f>(M17-Q11)*($E$10)</f>
        <v>565.19257384416051</v>
      </c>
      <c r="P17" s="300"/>
      <c r="Q17" s="300">
        <f t="shared" si="0"/>
        <v>106309.02677481998</v>
      </c>
      <c r="R17" s="300"/>
    </row>
    <row r="18" spans="2:18" x14ac:dyDescent="0.25">
      <c r="B18" s="295" t="s">
        <v>558</v>
      </c>
      <c r="C18" s="295"/>
      <c r="D18" s="295"/>
      <c r="E18" s="256">
        <f>E6</f>
        <v>100000</v>
      </c>
      <c r="F18" s="253"/>
      <c r="H18" s="258" t="s">
        <v>447</v>
      </c>
      <c r="I18" s="298">
        <f t="shared" si="2"/>
        <v>106319.6927913518</v>
      </c>
      <c r="J18" s="298"/>
      <c r="L18" s="258" t="s">
        <v>447</v>
      </c>
      <c r="M18" s="252">
        <f t="shared" si="1"/>
        <v>106946.8809354689</v>
      </c>
      <c r="N18" s="252"/>
      <c r="O18" s="252">
        <v>0</v>
      </c>
      <c r="P18" s="252"/>
      <c r="Q18" s="252">
        <f t="shared" si="0"/>
        <v>106946.8809354689</v>
      </c>
      <c r="R18" s="252"/>
    </row>
    <row r="19" spans="2:18" x14ac:dyDescent="0.25">
      <c r="B19" s="295" t="s">
        <v>559</v>
      </c>
      <c r="C19" s="295"/>
      <c r="D19" s="295"/>
      <c r="E19" s="256">
        <f>Q125</f>
        <v>184374.74106978395</v>
      </c>
      <c r="F19" s="253"/>
      <c r="H19" s="258" t="s">
        <v>448</v>
      </c>
      <c r="I19" s="298">
        <f t="shared" si="2"/>
        <v>106822.05333979095</v>
      </c>
      <c r="J19" s="298"/>
      <c r="L19" s="258" t="s">
        <v>448</v>
      </c>
      <c r="M19" s="252">
        <f t="shared" si="1"/>
        <v>107588.56222108171</v>
      </c>
      <c r="N19" s="252"/>
      <c r="O19" s="252">
        <v>0</v>
      </c>
      <c r="P19" s="252"/>
      <c r="Q19" s="252">
        <f t="shared" si="0"/>
        <v>107588.56222108171</v>
      </c>
      <c r="R19" s="252"/>
    </row>
    <row r="20" spans="2:18" x14ac:dyDescent="0.25">
      <c r="B20" s="295" t="s">
        <v>560</v>
      </c>
      <c r="C20" s="295"/>
      <c r="D20" s="295"/>
      <c r="E20" s="256">
        <f>SUM(O6:P125)</f>
        <v>14889.660188785399</v>
      </c>
      <c r="F20" s="253"/>
      <c r="H20" s="258" t="s">
        <v>449</v>
      </c>
      <c r="I20" s="298">
        <f t="shared" si="2"/>
        <v>107326.78754182147</v>
      </c>
      <c r="J20" s="298"/>
      <c r="L20" s="258" t="s">
        <v>449</v>
      </c>
      <c r="M20" s="252">
        <f t="shared" si="1"/>
        <v>108234.0935944082</v>
      </c>
      <c r="N20" s="252"/>
      <c r="O20" s="252">
        <v>0</v>
      </c>
      <c r="P20" s="252"/>
      <c r="Q20" s="252">
        <f t="shared" si="0"/>
        <v>108234.0935944082</v>
      </c>
      <c r="R20" s="252"/>
    </row>
    <row r="21" spans="2:18" x14ac:dyDescent="0.25">
      <c r="H21" s="258" t="s">
        <v>450</v>
      </c>
      <c r="I21" s="298">
        <f t="shared" si="2"/>
        <v>107833.90661295659</v>
      </c>
      <c r="J21" s="298"/>
      <c r="L21" s="258" t="s">
        <v>450</v>
      </c>
      <c r="M21" s="252">
        <f t="shared" si="1"/>
        <v>108883.49815597465</v>
      </c>
      <c r="N21" s="252"/>
      <c r="O21" s="252">
        <v>0</v>
      </c>
      <c r="P21" s="252"/>
      <c r="Q21" s="252">
        <f t="shared" si="0"/>
        <v>108883.49815597465</v>
      </c>
      <c r="R21" s="252"/>
    </row>
    <row r="22" spans="2:18" x14ac:dyDescent="0.25">
      <c r="B22" s="267" t="s">
        <v>561</v>
      </c>
      <c r="C22" s="267"/>
      <c r="D22" s="267"/>
      <c r="E22" s="267"/>
      <c r="F22" s="267"/>
      <c r="H22" s="258" t="s">
        <v>451</v>
      </c>
      <c r="I22" s="298">
        <f t="shared" si="2"/>
        <v>108343.42182170282</v>
      </c>
      <c r="J22" s="298"/>
      <c r="L22" s="258" t="s">
        <v>451</v>
      </c>
      <c r="M22" s="252">
        <f t="shared" si="1"/>
        <v>109536.7991449105</v>
      </c>
      <c r="N22" s="252"/>
      <c r="O22" s="252">
        <v>0</v>
      </c>
      <c r="P22" s="252"/>
      <c r="Q22" s="252">
        <f t="shared" si="0"/>
        <v>109536.7991449105</v>
      </c>
      <c r="R22" s="252"/>
    </row>
    <row r="23" spans="2:18" x14ac:dyDescent="0.25">
      <c r="H23" s="262" t="s">
        <v>452</v>
      </c>
      <c r="I23" s="299">
        <f t="shared" si="2"/>
        <v>108855.34448981038</v>
      </c>
      <c r="J23" s="299"/>
      <c r="L23" s="262" t="s">
        <v>452</v>
      </c>
      <c r="M23" s="300">
        <f t="shared" si="1"/>
        <v>110194.01993977997</v>
      </c>
      <c r="N23" s="300"/>
      <c r="O23" s="300">
        <f>(M23-Q17)*($E$10)</f>
        <v>582.74897474399836</v>
      </c>
      <c r="P23" s="300"/>
      <c r="Q23" s="300">
        <f t="shared" si="0"/>
        <v>109611.27096503598</v>
      </c>
      <c r="R23" s="300"/>
    </row>
    <row r="24" spans="2:18" x14ac:dyDescent="0.25">
      <c r="H24" s="258" t="s">
        <v>453</v>
      </c>
      <c r="I24" s="298">
        <f t="shared" si="2"/>
        <v>109369.68599252474</v>
      </c>
      <c r="J24" s="298"/>
      <c r="L24" s="258" t="s">
        <v>453</v>
      </c>
      <c r="M24" s="252">
        <f t="shared" si="1"/>
        <v>110268.93859082619</v>
      </c>
      <c r="N24" s="252"/>
      <c r="O24" s="252">
        <v>0</v>
      </c>
      <c r="P24" s="252"/>
      <c r="Q24" s="252">
        <f t="shared" si="0"/>
        <v>110268.93859082619</v>
      </c>
      <c r="R24" s="252"/>
    </row>
    <row r="25" spans="2:18" x14ac:dyDescent="0.25">
      <c r="H25" s="258" t="s">
        <v>454</v>
      </c>
      <c r="I25" s="298">
        <f t="shared" si="2"/>
        <v>109886.45775883943</v>
      </c>
      <c r="J25" s="298"/>
      <c r="L25" s="258" t="s">
        <v>454</v>
      </c>
      <c r="M25" s="252">
        <f t="shared" si="1"/>
        <v>110930.55222237115</v>
      </c>
      <c r="N25" s="252"/>
      <c r="O25" s="252">
        <v>0</v>
      </c>
      <c r="P25" s="252"/>
      <c r="Q25" s="252">
        <f t="shared" si="0"/>
        <v>110930.55222237115</v>
      </c>
      <c r="R25" s="252"/>
    </row>
    <row r="26" spans="2:18" x14ac:dyDescent="0.25">
      <c r="H26" s="258" t="s">
        <v>455</v>
      </c>
      <c r="I26" s="298">
        <f t="shared" si="2"/>
        <v>110405.67127174996</v>
      </c>
      <c r="J26" s="298"/>
      <c r="L26" s="258" t="s">
        <v>455</v>
      </c>
      <c r="M26" s="252">
        <f t="shared" si="1"/>
        <v>111596.13553570537</v>
      </c>
      <c r="N26" s="252"/>
      <c r="O26" s="252">
        <v>0</v>
      </c>
      <c r="P26" s="252"/>
      <c r="Q26" s="252">
        <f t="shared" si="0"/>
        <v>111596.13553570537</v>
      </c>
      <c r="R26" s="252"/>
    </row>
    <row r="27" spans="2:18" x14ac:dyDescent="0.25">
      <c r="H27" s="258" t="s">
        <v>456</v>
      </c>
      <c r="I27" s="298">
        <f t="shared" si="2"/>
        <v>110927.33806850899</v>
      </c>
      <c r="J27" s="298"/>
      <c r="L27" s="258" t="s">
        <v>456</v>
      </c>
      <c r="M27" s="252">
        <f t="shared" si="1"/>
        <v>112265.71234891959</v>
      </c>
      <c r="N27" s="252"/>
      <c r="O27" s="252">
        <v>0</v>
      </c>
      <c r="P27" s="252"/>
      <c r="Q27" s="252">
        <f t="shared" si="0"/>
        <v>112265.71234891959</v>
      </c>
      <c r="R27" s="252"/>
    </row>
    <row r="28" spans="2:18" x14ac:dyDescent="0.25">
      <c r="H28" s="258" t="s">
        <v>457</v>
      </c>
      <c r="I28" s="298">
        <f t="shared" si="2"/>
        <v>111451.46974088271</v>
      </c>
      <c r="J28" s="298"/>
      <c r="L28" s="258" t="s">
        <v>457</v>
      </c>
      <c r="M28" s="252">
        <f t="shared" si="1"/>
        <v>112939.30662301311</v>
      </c>
      <c r="N28" s="252"/>
      <c r="O28" s="252">
        <v>0</v>
      </c>
      <c r="P28" s="252"/>
      <c r="Q28" s="252">
        <f t="shared" si="0"/>
        <v>112939.30662301311</v>
      </c>
      <c r="R28" s="252"/>
    </row>
    <row r="29" spans="2:18" x14ac:dyDescent="0.25">
      <c r="H29" s="262" t="s">
        <v>458</v>
      </c>
      <c r="I29" s="299">
        <f t="shared" si="2"/>
        <v>111978.07793540838</v>
      </c>
      <c r="J29" s="299"/>
      <c r="L29" s="262" t="s">
        <v>458</v>
      </c>
      <c r="M29" s="300">
        <f t="shared" si="1"/>
        <v>113616.94246275119</v>
      </c>
      <c r="N29" s="300"/>
      <c r="O29" s="300">
        <f>(M29-Q23)*($E$10)</f>
        <v>600.85072465728229</v>
      </c>
      <c r="P29" s="300"/>
      <c r="Q29" s="300">
        <f t="shared" si="0"/>
        <v>113016.09173809391</v>
      </c>
      <c r="R29" s="300"/>
    </row>
    <row r="30" spans="2:18" x14ac:dyDescent="0.25">
      <c r="H30" s="258" t="s">
        <v>459</v>
      </c>
      <c r="I30" s="298">
        <f t="shared" si="2"/>
        <v>112507.17435365319</v>
      </c>
      <c r="J30" s="298"/>
      <c r="L30" s="258" t="s">
        <v>459</v>
      </c>
      <c r="M30" s="252">
        <f t="shared" si="1"/>
        <v>113694.18828852248</v>
      </c>
      <c r="N30" s="252"/>
      <c r="O30" s="252">
        <v>0</v>
      </c>
      <c r="P30" s="252"/>
      <c r="Q30" s="252">
        <f t="shared" si="0"/>
        <v>113694.18828852248</v>
      </c>
      <c r="R30" s="252"/>
    </row>
    <row r="31" spans="2:18" x14ac:dyDescent="0.25">
      <c r="H31" s="258" t="s">
        <v>460</v>
      </c>
      <c r="I31" s="298">
        <f t="shared" si="2"/>
        <v>113038.77075247421</v>
      </c>
      <c r="J31" s="298"/>
      <c r="L31" s="258" t="s">
        <v>460</v>
      </c>
      <c r="M31" s="252">
        <f t="shared" si="1"/>
        <v>114376.35341825361</v>
      </c>
      <c r="N31" s="252"/>
      <c r="O31" s="252">
        <v>0</v>
      </c>
      <c r="P31" s="252"/>
      <c r="Q31" s="252">
        <f t="shared" si="0"/>
        <v>114376.35341825361</v>
      </c>
      <c r="R31" s="252"/>
    </row>
    <row r="32" spans="2:18" x14ac:dyDescent="0.25">
      <c r="H32" s="258" t="s">
        <v>461</v>
      </c>
      <c r="I32" s="298">
        <f t="shared" si="2"/>
        <v>113572.87894427967</v>
      </c>
      <c r="J32" s="298"/>
      <c r="L32" s="258" t="s">
        <v>461</v>
      </c>
      <c r="M32" s="252">
        <f t="shared" si="1"/>
        <v>115062.61153876313</v>
      </c>
      <c r="N32" s="252"/>
      <c r="O32" s="252">
        <v>0</v>
      </c>
      <c r="P32" s="252"/>
      <c r="Q32" s="252">
        <f t="shared" si="0"/>
        <v>115062.61153876313</v>
      </c>
      <c r="R32" s="252"/>
    </row>
    <row r="33" spans="8:18" x14ac:dyDescent="0.25">
      <c r="H33" s="258" t="s">
        <v>462</v>
      </c>
      <c r="I33" s="298">
        <f t="shared" si="2"/>
        <v>114109.5107972914</v>
      </c>
      <c r="J33" s="298"/>
      <c r="L33" s="258" t="s">
        <v>462</v>
      </c>
      <c r="M33" s="252">
        <f t="shared" si="1"/>
        <v>115752.98720799571</v>
      </c>
      <c r="N33" s="252"/>
      <c r="O33" s="252">
        <v>0</v>
      </c>
      <c r="P33" s="252"/>
      <c r="Q33" s="252">
        <f t="shared" si="0"/>
        <v>115752.98720799571</v>
      </c>
      <c r="R33" s="252"/>
    </row>
    <row r="34" spans="8:18" x14ac:dyDescent="0.25">
      <c r="H34" s="258" t="s">
        <v>463</v>
      </c>
      <c r="I34" s="298">
        <f t="shared" si="2"/>
        <v>114648.67823580861</v>
      </c>
      <c r="J34" s="298"/>
      <c r="L34" s="258" t="s">
        <v>463</v>
      </c>
      <c r="M34" s="252">
        <f t="shared" si="1"/>
        <v>116447.50513124368</v>
      </c>
      <c r="N34" s="252"/>
      <c r="O34" s="252">
        <v>0</v>
      </c>
      <c r="P34" s="252"/>
      <c r="Q34" s="252">
        <f t="shared" si="0"/>
        <v>116447.50513124368</v>
      </c>
      <c r="R34" s="252"/>
    </row>
    <row r="35" spans="8:18" x14ac:dyDescent="0.25">
      <c r="H35" s="262" t="s">
        <v>464</v>
      </c>
      <c r="I35" s="299">
        <f t="shared" si="2"/>
        <v>115190.39324047281</v>
      </c>
      <c r="J35" s="299"/>
      <c r="L35" s="262" t="s">
        <v>464</v>
      </c>
      <c r="M35" s="300">
        <f t="shared" si="1"/>
        <v>117146.19016203114</v>
      </c>
      <c r="N35" s="300"/>
      <c r="O35" s="300">
        <f>(M35-Q29)*($E$10)</f>
        <v>619.51476359058506</v>
      </c>
      <c r="P35" s="300"/>
      <c r="Q35" s="300">
        <f t="shared" si="0"/>
        <v>116526.67539844055</v>
      </c>
      <c r="R35" s="300"/>
    </row>
    <row r="36" spans="8:18" x14ac:dyDescent="0.25">
      <c r="H36" s="258" t="s">
        <v>465</v>
      </c>
      <c r="I36" s="298">
        <f t="shared" si="2"/>
        <v>115734.66784853405</v>
      </c>
      <c r="J36" s="298"/>
      <c r="L36" s="258" t="s">
        <v>465</v>
      </c>
      <c r="M36" s="252">
        <f t="shared" si="1"/>
        <v>117225.83545083119</v>
      </c>
      <c r="N36" s="252"/>
      <c r="O36" s="252">
        <v>0</v>
      </c>
      <c r="P36" s="252"/>
      <c r="Q36" s="252">
        <f t="shared" si="0"/>
        <v>117225.83545083119</v>
      </c>
      <c r="R36" s="252"/>
    </row>
    <row r="37" spans="8:18" x14ac:dyDescent="0.25">
      <c r="H37" s="258" t="s">
        <v>466</v>
      </c>
      <c r="I37" s="298">
        <f t="shared" si="2"/>
        <v>116281.51415411838</v>
      </c>
      <c r="J37" s="298"/>
      <c r="L37" s="258" t="s">
        <v>466</v>
      </c>
      <c r="M37" s="252">
        <f t="shared" si="1"/>
        <v>117929.19046353617</v>
      </c>
      <c r="N37" s="252"/>
      <c r="O37" s="252">
        <v>0</v>
      </c>
      <c r="P37" s="252"/>
      <c r="Q37" s="252">
        <f t="shared" si="0"/>
        <v>117929.19046353617</v>
      </c>
      <c r="R37" s="252"/>
    </row>
    <row r="38" spans="8:18" x14ac:dyDescent="0.25">
      <c r="H38" s="258" t="s">
        <v>467</v>
      </c>
      <c r="I38" s="298">
        <f t="shared" si="2"/>
        <v>116830.9443084966</v>
      </c>
      <c r="J38" s="298"/>
      <c r="L38" s="258" t="s">
        <v>467</v>
      </c>
      <c r="M38" s="252">
        <f t="shared" si="1"/>
        <v>118636.76560631739</v>
      </c>
      <c r="N38" s="252"/>
      <c r="O38" s="252">
        <v>0</v>
      </c>
      <c r="P38" s="252"/>
      <c r="Q38" s="252">
        <f t="shared" si="0"/>
        <v>118636.76560631739</v>
      </c>
      <c r="R38" s="252"/>
    </row>
    <row r="39" spans="8:18" x14ac:dyDescent="0.25">
      <c r="H39" s="258" t="s">
        <v>468</v>
      </c>
      <c r="I39" s="298">
        <f t="shared" si="2"/>
        <v>117382.97052035425</v>
      </c>
      <c r="J39" s="298"/>
      <c r="L39" s="258" t="s">
        <v>468</v>
      </c>
      <c r="M39" s="252">
        <f t="shared" si="1"/>
        <v>119348.5861999553</v>
      </c>
      <c r="N39" s="252"/>
      <c r="O39" s="252">
        <v>0</v>
      </c>
      <c r="P39" s="252"/>
      <c r="Q39" s="252">
        <f t="shared" si="0"/>
        <v>119348.5861999553</v>
      </c>
      <c r="R39" s="252"/>
    </row>
    <row r="40" spans="8:18" x14ac:dyDescent="0.25">
      <c r="H40" s="258" t="s">
        <v>469</v>
      </c>
      <c r="I40" s="298">
        <f t="shared" si="2"/>
        <v>117937.60505606294</v>
      </c>
      <c r="J40" s="298"/>
      <c r="L40" s="258" t="s">
        <v>469</v>
      </c>
      <c r="M40" s="252">
        <f t="shared" si="1"/>
        <v>120064.67771715503</v>
      </c>
      <c r="N40" s="252"/>
      <c r="O40" s="252">
        <v>0</v>
      </c>
      <c r="P40" s="252"/>
      <c r="Q40" s="252">
        <f t="shared" si="0"/>
        <v>120064.67771715503</v>
      </c>
      <c r="R40" s="252"/>
    </row>
    <row r="41" spans="8:18" x14ac:dyDescent="0.25">
      <c r="H41" s="262" t="s">
        <v>470</v>
      </c>
      <c r="I41" s="299">
        <f t="shared" si="2"/>
        <v>118494.86023995285</v>
      </c>
      <c r="J41" s="299"/>
      <c r="L41" s="262" t="s">
        <v>470</v>
      </c>
      <c r="M41" s="300">
        <f t="shared" si="1"/>
        <v>120785.06578345796</v>
      </c>
      <c r="N41" s="300"/>
      <c r="O41" s="300">
        <f>(M41-Q35)*($E$10)</f>
        <v>638.75855775261152</v>
      </c>
      <c r="P41" s="300"/>
      <c r="Q41" s="300">
        <f t="shared" si="0"/>
        <v>120146.30722570536</v>
      </c>
      <c r="R41" s="300"/>
    </row>
    <row r="42" spans="8:18" x14ac:dyDescent="0.25">
      <c r="H42" s="258" t="s">
        <v>471</v>
      </c>
      <c r="I42" s="298">
        <f t="shared" si="2"/>
        <v>119054.74845458663</v>
      </c>
      <c r="J42" s="298"/>
      <c r="L42" s="258" t="s">
        <v>471</v>
      </c>
      <c r="M42" s="252">
        <f t="shared" si="1"/>
        <v>120867.18506905959</v>
      </c>
      <c r="N42" s="252"/>
      <c r="O42" s="252">
        <v>0</v>
      </c>
      <c r="P42" s="252"/>
      <c r="Q42" s="252">
        <f t="shared" si="0"/>
        <v>120867.18506905959</v>
      </c>
      <c r="R42" s="252"/>
    </row>
    <row r="43" spans="8:18" x14ac:dyDescent="0.25">
      <c r="H43" s="258" t="s">
        <v>472</v>
      </c>
      <c r="I43" s="298">
        <f t="shared" si="2"/>
        <v>119617.28214103456</v>
      </c>
      <c r="J43" s="298"/>
      <c r="L43" s="258" t="s">
        <v>472</v>
      </c>
      <c r="M43" s="252">
        <f t="shared" si="1"/>
        <v>121592.38817947394</v>
      </c>
      <c r="N43" s="252"/>
      <c r="O43" s="252">
        <v>0</v>
      </c>
      <c r="P43" s="252"/>
      <c r="Q43" s="252">
        <f t="shared" si="0"/>
        <v>121592.38817947394</v>
      </c>
      <c r="R43" s="252"/>
    </row>
    <row r="44" spans="8:18" x14ac:dyDescent="0.25">
      <c r="H44" s="258" t="s">
        <v>473</v>
      </c>
      <c r="I44" s="298">
        <f t="shared" si="2"/>
        <v>120182.47379915096</v>
      </c>
      <c r="J44" s="298"/>
      <c r="L44" s="258" t="s">
        <v>473</v>
      </c>
      <c r="M44" s="252">
        <f t="shared" si="1"/>
        <v>122321.94250855078</v>
      </c>
      <c r="N44" s="252"/>
      <c r="O44" s="252">
        <v>0</v>
      </c>
      <c r="P44" s="252"/>
      <c r="Q44" s="252">
        <f t="shared" si="0"/>
        <v>122321.94250855078</v>
      </c>
      <c r="R44" s="252"/>
    </row>
    <row r="45" spans="8:18" x14ac:dyDescent="0.25">
      <c r="H45" s="258" t="s">
        <v>474</v>
      </c>
      <c r="I45" s="298">
        <f t="shared" si="2"/>
        <v>120750.33598785195</v>
      </c>
      <c r="J45" s="298"/>
      <c r="L45" s="258" t="s">
        <v>474</v>
      </c>
      <c r="M45" s="252">
        <f t="shared" si="1"/>
        <v>123055.87416360209</v>
      </c>
      <c r="N45" s="252"/>
      <c r="O45" s="252">
        <v>0</v>
      </c>
      <c r="P45" s="252"/>
      <c r="Q45" s="252">
        <f t="shared" si="0"/>
        <v>123055.87416360209</v>
      </c>
      <c r="R45" s="252"/>
    </row>
    <row r="46" spans="8:18" x14ac:dyDescent="0.25">
      <c r="H46" s="258" t="s">
        <v>475</v>
      </c>
      <c r="I46" s="298">
        <f t="shared" si="2"/>
        <v>121320.88132539457</v>
      </c>
      <c r="J46" s="298"/>
      <c r="L46" s="258" t="s">
        <v>475</v>
      </c>
      <c r="M46" s="252">
        <f t="shared" si="1"/>
        <v>123794.2094085837</v>
      </c>
      <c r="N46" s="252"/>
      <c r="O46" s="252">
        <v>0</v>
      </c>
      <c r="P46" s="252"/>
      <c r="Q46" s="252">
        <f t="shared" si="0"/>
        <v>123794.2094085837</v>
      </c>
      <c r="R46" s="252"/>
    </row>
    <row r="47" spans="8:18" x14ac:dyDescent="0.25">
      <c r="H47" s="262" t="s">
        <v>476</v>
      </c>
      <c r="I47" s="299">
        <f t="shared" si="2"/>
        <v>121894.12248965706</v>
      </c>
      <c r="J47" s="299"/>
      <c r="L47" s="262" t="s">
        <v>476</v>
      </c>
      <c r="M47" s="300">
        <f t="shared" si="1"/>
        <v>124536.9746650352</v>
      </c>
      <c r="N47" s="300"/>
      <c r="O47" s="300">
        <f>(M47-Q41)*($E$10)</f>
        <v>658.6001158994768</v>
      </c>
      <c r="P47" s="300"/>
      <c r="Q47" s="300">
        <f t="shared" si="0"/>
        <v>123878.37454913573</v>
      </c>
      <c r="R47" s="300"/>
    </row>
    <row r="48" spans="8:18" x14ac:dyDescent="0.25">
      <c r="H48" s="258" t="s">
        <v>477</v>
      </c>
      <c r="I48" s="298">
        <f t="shared" si="2"/>
        <v>122470.07221842071</v>
      </c>
      <c r="J48" s="298"/>
      <c r="L48" s="258" t="s">
        <v>477</v>
      </c>
      <c r="M48" s="252">
        <f t="shared" si="1"/>
        <v>124621.64479643054</v>
      </c>
      <c r="N48" s="252"/>
      <c r="O48" s="252">
        <v>0</v>
      </c>
      <c r="P48" s="252"/>
      <c r="Q48" s="252">
        <f t="shared" si="0"/>
        <v>124621.64479643054</v>
      </c>
      <c r="R48" s="252"/>
    </row>
    <row r="49" spans="8:18" x14ac:dyDescent="0.25">
      <c r="H49" s="258" t="s">
        <v>478</v>
      </c>
      <c r="I49" s="298">
        <f t="shared" si="2"/>
        <v>123048.74330965277</v>
      </c>
      <c r="J49" s="298"/>
      <c r="L49" s="258" t="s">
        <v>478</v>
      </c>
      <c r="M49" s="252">
        <f t="shared" si="1"/>
        <v>125369.37466520912</v>
      </c>
      <c r="N49" s="252"/>
      <c r="O49" s="252">
        <v>0</v>
      </c>
      <c r="P49" s="252"/>
      <c r="Q49" s="252">
        <f t="shared" si="0"/>
        <v>125369.37466520912</v>
      </c>
      <c r="R49" s="252"/>
    </row>
    <row r="50" spans="8:18" x14ac:dyDescent="0.25">
      <c r="H50" s="258" t="s">
        <v>479</v>
      </c>
      <c r="I50" s="298">
        <f t="shared" si="2"/>
        <v>123630.14862179088</v>
      </c>
      <c r="J50" s="298"/>
      <c r="L50" s="258" t="s">
        <v>479</v>
      </c>
      <c r="M50" s="252">
        <f t="shared" si="1"/>
        <v>126121.59091320037</v>
      </c>
      <c r="N50" s="252"/>
      <c r="O50" s="252">
        <v>0</v>
      </c>
      <c r="P50" s="252"/>
      <c r="Q50" s="252">
        <f t="shared" si="0"/>
        <v>126121.59091320037</v>
      </c>
      <c r="R50" s="252"/>
    </row>
    <row r="51" spans="8:18" x14ac:dyDescent="0.25">
      <c r="H51" s="258" t="s">
        <v>480</v>
      </c>
      <c r="I51" s="298">
        <f t="shared" si="2"/>
        <v>124214.30107402886</v>
      </c>
      <c r="J51" s="298"/>
      <c r="L51" s="258" t="s">
        <v>480</v>
      </c>
      <c r="M51" s="252">
        <f t="shared" si="1"/>
        <v>126878.32045867958</v>
      </c>
      <c r="N51" s="252"/>
      <c r="O51" s="252">
        <v>0</v>
      </c>
      <c r="P51" s="252"/>
      <c r="Q51" s="252">
        <f t="shared" si="0"/>
        <v>126878.32045867958</v>
      </c>
      <c r="R51" s="252"/>
    </row>
    <row r="52" spans="8:18" x14ac:dyDescent="0.25">
      <c r="H52" s="258" t="s">
        <v>481</v>
      </c>
      <c r="I52" s="298">
        <f t="shared" si="2"/>
        <v>124801.21364660366</v>
      </c>
      <c r="J52" s="298"/>
      <c r="L52" s="258" t="s">
        <v>481</v>
      </c>
      <c r="M52" s="252">
        <f t="shared" si="1"/>
        <v>127639.59038143166</v>
      </c>
      <c r="N52" s="252"/>
      <c r="O52" s="252">
        <v>0</v>
      </c>
      <c r="P52" s="252"/>
      <c r="Q52" s="252">
        <f t="shared" si="0"/>
        <v>127639.59038143166</v>
      </c>
      <c r="R52" s="252"/>
    </row>
    <row r="53" spans="8:18" x14ac:dyDescent="0.25">
      <c r="H53" s="262" t="s">
        <v>482</v>
      </c>
      <c r="I53" s="299">
        <f t="shared" si="2"/>
        <v>125390.89938108387</v>
      </c>
      <c r="J53" s="299"/>
      <c r="L53" s="262" t="s">
        <v>482</v>
      </c>
      <c r="M53" s="300">
        <f t="shared" si="1"/>
        <v>128405.42792372024</v>
      </c>
      <c r="N53" s="300"/>
      <c r="O53" s="300">
        <f>(M53-Q47)*($E$10)</f>
        <v>679.05800618767751</v>
      </c>
      <c r="P53" s="300"/>
      <c r="Q53" s="300">
        <f t="shared" si="0"/>
        <v>127726.36991753256</v>
      </c>
      <c r="R53" s="300"/>
    </row>
    <row r="54" spans="8:18" x14ac:dyDescent="0.25">
      <c r="H54" s="258" t="s">
        <v>483</v>
      </c>
      <c r="I54" s="298">
        <f t="shared" si="2"/>
        <v>125983.3713806595</v>
      </c>
      <c r="J54" s="298"/>
      <c r="L54" s="258" t="s">
        <v>483</v>
      </c>
      <c r="M54" s="252">
        <f t="shared" si="1"/>
        <v>128492.72813703776</v>
      </c>
      <c r="N54" s="252"/>
      <c r="O54" s="252">
        <v>0</v>
      </c>
      <c r="P54" s="252"/>
      <c r="Q54" s="252">
        <f t="shared" si="0"/>
        <v>128492.72813703776</v>
      </c>
      <c r="R54" s="252"/>
    </row>
    <row r="55" spans="8:18" x14ac:dyDescent="0.25">
      <c r="H55" s="258" t="s">
        <v>484</v>
      </c>
      <c r="I55" s="298">
        <f t="shared" si="2"/>
        <v>126578.64281043313</v>
      </c>
      <c r="J55" s="298"/>
      <c r="L55" s="258" t="s">
        <v>484</v>
      </c>
      <c r="M55" s="252">
        <f t="shared" si="1"/>
        <v>129263.68450585999</v>
      </c>
      <c r="N55" s="252"/>
      <c r="O55" s="252">
        <v>0</v>
      </c>
      <c r="P55" s="252"/>
      <c r="Q55" s="252">
        <f t="shared" si="0"/>
        <v>129263.68450585999</v>
      </c>
      <c r="R55" s="252"/>
    </row>
    <row r="56" spans="8:18" x14ac:dyDescent="0.25">
      <c r="H56" s="258" t="s">
        <v>485</v>
      </c>
      <c r="I56" s="298">
        <f t="shared" si="2"/>
        <v>127176.72689771243</v>
      </c>
      <c r="J56" s="298"/>
      <c r="L56" s="258" t="s">
        <v>485</v>
      </c>
      <c r="M56" s="252">
        <f t="shared" si="1"/>
        <v>130039.26661289515</v>
      </c>
      <c r="N56" s="252"/>
      <c r="O56" s="252">
        <v>0</v>
      </c>
      <c r="P56" s="252"/>
      <c r="Q56" s="252">
        <f t="shared" si="0"/>
        <v>130039.26661289515</v>
      </c>
      <c r="R56" s="252"/>
    </row>
    <row r="57" spans="8:18" x14ac:dyDescent="0.25">
      <c r="H57" s="258" t="s">
        <v>486</v>
      </c>
      <c r="I57" s="298">
        <f t="shared" si="2"/>
        <v>127777.63693230413</v>
      </c>
      <c r="J57" s="298"/>
      <c r="L57" s="258" t="s">
        <v>486</v>
      </c>
      <c r="M57" s="252">
        <f t="shared" si="1"/>
        <v>130819.50221257252</v>
      </c>
      <c r="N57" s="252"/>
      <c r="O57" s="252">
        <v>0</v>
      </c>
      <c r="P57" s="252"/>
      <c r="Q57" s="252">
        <f t="shared" si="0"/>
        <v>130819.50221257252</v>
      </c>
      <c r="R57" s="252"/>
    </row>
    <row r="58" spans="8:18" x14ac:dyDescent="0.25">
      <c r="H58" s="258" t="s">
        <v>487</v>
      </c>
      <c r="I58" s="298">
        <f t="shared" si="2"/>
        <v>128381.38626680928</v>
      </c>
      <c r="J58" s="298"/>
      <c r="L58" s="258" t="s">
        <v>487</v>
      </c>
      <c r="M58" s="252">
        <f t="shared" si="1"/>
        <v>131604.41922584796</v>
      </c>
      <c r="N58" s="252"/>
      <c r="O58" s="252">
        <v>0</v>
      </c>
      <c r="P58" s="252"/>
      <c r="Q58" s="252">
        <f t="shared" si="0"/>
        <v>131604.41922584796</v>
      </c>
      <c r="R58" s="252"/>
    </row>
    <row r="59" spans="8:18" x14ac:dyDescent="0.25">
      <c r="H59" s="262" t="s">
        <v>488</v>
      </c>
      <c r="I59" s="299">
        <f t="shared" si="2"/>
        <v>128987.98831691996</v>
      </c>
      <c r="J59" s="299"/>
      <c r="L59" s="262" t="s">
        <v>488</v>
      </c>
      <c r="M59" s="300">
        <f t="shared" si="1"/>
        <v>132394.04574120304</v>
      </c>
      <c r="N59" s="300"/>
      <c r="O59" s="300">
        <f>(M59-Q53)*($E$10)</f>
        <v>700.15137355057152</v>
      </c>
      <c r="P59" s="300"/>
      <c r="Q59" s="300">
        <f t="shared" si="0"/>
        <v>131693.89436765248</v>
      </c>
      <c r="R59" s="300"/>
    </row>
    <row r="60" spans="8:18" x14ac:dyDescent="0.25">
      <c r="H60" s="258" t="s">
        <v>489</v>
      </c>
      <c r="I60" s="298">
        <f t="shared" si="2"/>
        <v>129597.45656171742</v>
      </c>
      <c r="J60" s="298"/>
      <c r="L60" s="258" t="s">
        <v>489</v>
      </c>
      <c r="M60" s="252">
        <f t="shared" si="1"/>
        <v>132484.05773385838</v>
      </c>
      <c r="N60" s="252"/>
      <c r="O60" s="252">
        <v>0</v>
      </c>
      <c r="P60" s="252"/>
      <c r="Q60" s="252">
        <f t="shared" si="0"/>
        <v>132484.05773385838</v>
      </c>
      <c r="R60" s="252"/>
    </row>
    <row r="61" spans="8:18" x14ac:dyDescent="0.25">
      <c r="H61" s="258" t="s">
        <v>490</v>
      </c>
      <c r="I61" s="298">
        <f t="shared" si="2"/>
        <v>130209.80454397155</v>
      </c>
      <c r="J61" s="298"/>
      <c r="L61" s="258" t="s">
        <v>490</v>
      </c>
      <c r="M61" s="252">
        <f t="shared" si="1"/>
        <v>133278.96208026152</v>
      </c>
      <c r="N61" s="252"/>
      <c r="O61" s="252">
        <v>0</v>
      </c>
      <c r="P61" s="252"/>
      <c r="Q61" s="252">
        <f t="shared" si="0"/>
        <v>133278.96208026152</v>
      </c>
      <c r="R61" s="252"/>
    </row>
    <row r="62" spans="8:18" x14ac:dyDescent="0.25">
      <c r="H62" s="258" t="s">
        <v>491</v>
      </c>
      <c r="I62" s="298">
        <f t="shared" si="2"/>
        <v>130825.04587044183</v>
      </c>
      <c r="J62" s="298"/>
      <c r="L62" s="258" t="s">
        <v>491</v>
      </c>
      <c r="M62" s="252">
        <f t="shared" si="1"/>
        <v>134078.63585274309</v>
      </c>
      <c r="N62" s="252"/>
      <c r="O62" s="252">
        <v>0</v>
      </c>
      <c r="P62" s="252"/>
      <c r="Q62" s="252">
        <f t="shared" si="0"/>
        <v>134078.63585274309</v>
      </c>
      <c r="R62" s="252"/>
    </row>
    <row r="63" spans="8:18" x14ac:dyDescent="0.25">
      <c r="H63" s="258" t="s">
        <v>492</v>
      </c>
      <c r="I63" s="298">
        <f t="shared" si="2"/>
        <v>131443.19421217969</v>
      </c>
      <c r="J63" s="298"/>
      <c r="L63" s="258" t="s">
        <v>492</v>
      </c>
      <c r="M63" s="252">
        <f t="shared" si="1"/>
        <v>134883.10766785956</v>
      </c>
      <c r="N63" s="252"/>
      <c r="O63" s="252">
        <v>0</v>
      </c>
      <c r="P63" s="252"/>
      <c r="Q63" s="252">
        <f t="shared" si="0"/>
        <v>134883.10766785956</v>
      </c>
      <c r="R63" s="252"/>
    </row>
    <row r="64" spans="8:18" x14ac:dyDescent="0.25">
      <c r="H64" s="258" t="s">
        <v>493</v>
      </c>
      <c r="I64" s="298">
        <f t="shared" si="2"/>
        <v>132064.26330483225</v>
      </c>
      <c r="J64" s="298"/>
      <c r="L64" s="258" t="s">
        <v>493</v>
      </c>
      <c r="M64" s="252">
        <f t="shared" si="1"/>
        <v>135692.40631386673</v>
      </c>
      <c r="N64" s="252"/>
      <c r="O64" s="252">
        <v>0</v>
      </c>
      <c r="P64" s="252"/>
      <c r="Q64" s="252">
        <f t="shared" si="0"/>
        <v>135692.40631386673</v>
      </c>
      <c r="R64" s="252"/>
    </row>
    <row r="65" spans="8:18" x14ac:dyDescent="0.25">
      <c r="H65" s="262" t="s">
        <v>494</v>
      </c>
      <c r="I65" s="299">
        <f t="shared" si="2"/>
        <v>132688.2669489476</v>
      </c>
      <c r="J65" s="299"/>
      <c r="L65" s="262" t="s">
        <v>494</v>
      </c>
      <c r="M65" s="300">
        <f t="shared" si="1"/>
        <v>136506.56075174993</v>
      </c>
      <c r="N65" s="300"/>
      <c r="O65" s="300">
        <f>(M65-Q59)*($E$10)</f>
        <v>721.89995761461762</v>
      </c>
      <c r="P65" s="300"/>
      <c r="Q65" s="300">
        <f t="shared" si="0"/>
        <v>135784.6607941353</v>
      </c>
      <c r="R65" s="300"/>
    </row>
    <row r="66" spans="8:18" x14ac:dyDescent="0.25">
      <c r="H66" s="258" t="s">
        <v>562</v>
      </c>
      <c r="I66" s="298">
        <f t="shared" si="2"/>
        <v>133315.21901028138</v>
      </c>
      <c r="J66" s="298"/>
      <c r="L66" s="258" t="s">
        <v>562</v>
      </c>
      <c r="M66" s="252">
        <f t="shared" si="1"/>
        <v>136599.36875890012</v>
      </c>
      <c r="N66" s="252"/>
      <c r="O66" s="252">
        <v>0</v>
      </c>
      <c r="P66" s="252"/>
      <c r="Q66" s="252">
        <f t="shared" si="0"/>
        <v>136599.36875890012</v>
      </c>
      <c r="R66" s="252"/>
    </row>
    <row r="67" spans="8:18" x14ac:dyDescent="0.25">
      <c r="H67" s="258" t="s">
        <v>563</v>
      </c>
      <c r="I67" s="298">
        <f t="shared" si="2"/>
        <v>133945.13342010498</v>
      </c>
      <c r="J67" s="298"/>
      <c r="L67" s="258" t="s">
        <v>563</v>
      </c>
      <c r="M67" s="252">
        <f t="shared" si="1"/>
        <v>137418.96497145353</v>
      </c>
      <c r="N67" s="252"/>
      <c r="O67" s="252">
        <v>0</v>
      </c>
      <c r="P67" s="252"/>
      <c r="Q67" s="252">
        <f t="shared" si="0"/>
        <v>137418.96497145353</v>
      </c>
      <c r="R67" s="252"/>
    </row>
    <row r="68" spans="8:18" x14ac:dyDescent="0.25">
      <c r="H68" s="258" t="s">
        <v>564</v>
      </c>
      <c r="I68" s="298">
        <f t="shared" si="2"/>
        <v>134578.02417551499</v>
      </c>
      <c r="J68" s="298"/>
      <c r="L68" s="258" t="s">
        <v>564</v>
      </c>
      <c r="M68" s="252">
        <f t="shared" si="1"/>
        <v>138243.47876128225</v>
      </c>
      <c r="N68" s="252"/>
      <c r="O68" s="252">
        <v>0</v>
      </c>
      <c r="P68" s="252"/>
      <c r="Q68" s="252">
        <f t="shared" si="0"/>
        <v>138243.47876128225</v>
      </c>
      <c r="R68" s="252"/>
    </row>
    <row r="69" spans="8:18" x14ac:dyDescent="0.25">
      <c r="H69" s="258" t="s">
        <v>565</v>
      </c>
      <c r="I69" s="298">
        <f t="shared" si="2"/>
        <v>135213.90533974432</v>
      </c>
      <c r="J69" s="298"/>
      <c r="L69" s="258" t="s">
        <v>565</v>
      </c>
      <c r="M69" s="252">
        <f t="shared" si="1"/>
        <v>139072.93963384995</v>
      </c>
      <c r="N69" s="252"/>
      <c r="O69" s="252">
        <v>0</v>
      </c>
      <c r="P69" s="252"/>
      <c r="Q69" s="252">
        <f t="shared" si="0"/>
        <v>139072.93963384995</v>
      </c>
      <c r="R69" s="252"/>
    </row>
    <row r="70" spans="8:18" x14ac:dyDescent="0.25">
      <c r="H70" s="258" t="s">
        <v>566</v>
      </c>
      <c r="I70" s="298">
        <f t="shared" si="2"/>
        <v>135852.79104247462</v>
      </c>
      <c r="J70" s="298"/>
      <c r="L70" s="258" t="s">
        <v>566</v>
      </c>
      <c r="M70" s="252">
        <f t="shared" si="1"/>
        <v>139907.37727165304</v>
      </c>
      <c r="N70" s="252"/>
      <c r="O70" s="252">
        <v>0</v>
      </c>
      <c r="P70" s="252"/>
      <c r="Q70" s="252">
        <f t="shared" si="0"/>
        <v>139907.37727165304</v>
      </c>
      <c r="R70" s="252"/>
    </row>
    <row r="71" spans="8:18" x14ac:dyDescent="0.25">
      <c r="H71" s="262" t="s">
        <v>567</v>
      </c>
      <c r="I71" s="299">
        <f t="shared" si="2"/>
        <v>136494.69548015032</v>
      </c>
      <c r="J71" s="299"/>
      <c r="L71" s="262" t="s">
        <v>567</v>
      </c>
      <c r="M71" s="300">
        <f t="shared" si="1"/>
        <v>140746.82153528294</v>
      </c>
      <c r="N71" s="300"/>
      <c r="O71" s="300">
        <f>(M71-Q65)*($E$10)</f>
        <v>744.32411117214644</v>
      </c>
      <c r="P71" s="300"/>
      <c r="Q71" s="300">
        <f t="shared" ref="Q71:Q125" si="3">M71-O71</f>
        <v>140002.4974241108</v>
      </c>
      <c r="R71" s="300"/>
    </row>
    <row r="72" spans="8:18" x14ac:dyDescent="0.25">
      <c r="H72" s="258" t="s">
        <v>568</v>
      </c>
      <c r="I72" s="298">
        <f t="shared" si="2"/>
        <v>137139.63291629404</v>
      </c>
      <c r="J72" s="298"/>
      <c r="L72" s="258" t="s">
        <v>568</v>
      </c>
      <c r="M72" s="252">
        <f t="shared" ref="M72:M125" si="4">Q71*(1+$E$9)</f>
        <v>140842.51240865546</v>
      </c>
      <c r="N72" s="252"/>
      <c r="O72" s="252">
        <v>0</v>
      </c>
      <c r="P72" s="252"/>
      <c r="Q72" s="252">
        <f t="shared" si="3"/>
        <v>140842.51240865546</v>
      </c>
      <c r="R72" s="252"/>
    </row>
    <row r="73" spans="8:18" x14ac:dyDescent="0.25">
      <c r="H73" s="258" t="s">
        <v>569</v>
      </c>
      <c r="I73" s="298">
        <f t="shared" ref="I73:I125" si="5">I72*(1+$E$8)</f>
        <v>137787.61768182355</v>
      </c>
      <c r="J73" s="298"/>
      <c r="L73" s="258" t="s">
        <v>569</v>
      </c>
      <c r="M73" s="252">
        <f t="shared" si="4"/>
        <v>141687.56748310738</v>
      </c>
      <c r="N73" s="252"/>
      <c r="O73" s="252">
        <v>0</v>
      </c>
      <c r="P73" s="252"/>
      <c r="Q73" s="252">
        <f t="shared" si="3"/>
        <v>141687.56748310738</v>
      </c>
      <c r="R73" s="252"/>
    </row>
    <row r="74" spans="8:18" x14ac:dyDescent="0.25">
      <c r="H74" s="258" t="s">
        <v>570</v>
      </c>
      <c r="I74" s="298">
        <f t="shared" si="5"/>
        <v>138438.66417537018</v>
      </c>
      <c r="J74" s="298"/>
      <c r="L74" s="258" t="s">
        <v>570</v>
      </c>
      <c r="M74" s="252">
        <f t="shared" si="4"/>
        <v>142537.69288800604</v>
      </c>
      <c r="N74" s="252"/>
      <c r="O74" s="252">
        <v>0</v>
      </c>
      <c r="P74" s="252"/>
      <c r="Q74" s="252">
        <f t="shared" si="3"/>
        <v>142537.69288800604</v>
      </c>
      <c r="R74" s="252"/>
    </row>
    <row r="75" spans="8:18" x14ac:dyDescent="0.25">
      <c r="H75" s="258" t="s">
        <v>571</v>
      </c>
      <c r="I75" s="298">
        <f t="shared" si="5"/>
        <v>139092.78686359883</v>
      </c>
      <c r="J75" s="298"/>
      <c r="L75" s="258" t="s">
        <v>571</v>
      </c>
      <c r="M75" s="252">
        <f t="shared" si="4"/>
        <v>143392.91904533407</v>
      </c>
      <c r="N75" s="252"/>
      <c r="O75" s="252">
        <v>0</v>
      </c>
      <c r="P75" s="252"/>
      <c r="Q75" s="252">
        <f t="shared" si="3"/>
        <v>143392.91904533407</v>
      </c>
      <c r="R75" s="252"/>
    </row>
    <row r="76" spans="8:18" x14ac:dyDescent="0.25">
      <c r="H76" s="258" t="s">
        <v>572</v>
      </c>
      <c r="I76" s="298">
        <f t="shared" si="5"/>
        <v>139750.00028152936</v>
      </c>
      <c r="J76" s="298"/>
      <c r="L76" s="258" t="s">
        <v>572</v>
      </c>
      <c r="M76" s="252">
        <f t="shared" si="4"/>
        <v>144253.27655960608</v>
      </c>
      <c r="N76" s="252"/>
      <c r="O76" s="252">
        <v>0</v>
      </c>
      <c r="P76" s="252"/>
      <c r="Q76" s="252">
        <f t="shared" si="3"/>
        <v>144253.27655960608</v>
      </c>
      <c r="R76" s="252"/>
    </row>
    <row r="77" spans="8:18" x14ac:dyDescent="0.25">
      <c r="H77" s="262" t="s">
        <v>573</v>
      </c>
      <c r="I77" s="299">
        <f t="shared" si="5"/>
        <v>140410.31903285958</v>
      </c>
      <c r="J77" s="299"/>
      <c r="L77" s="262" t="s">
        <v>573</v>
      </c>
      <c r="M77" s="300">
        <f t="shared" si="4"/>
        <v>145118.79621896372</v>
      </c>
      <c r="N77" s="300"/>
      <c r="O77" s="300">
        <f>(M77-Q71)*($E$10)</f>
        <v>767.44481922793784</v>
      </c>
      <c r="P77" s="300"/>
      <c r="Q77" s="300">
        <f t="shared" si="3"/>
        <v>144351.35139973578</v>
      </c>
      <c r="R77" s="300"/>
    </row>
    <row r="78" spans="8:18" x14ac:dyDescent="0.25">
      <c r="H78" s="258" t="s">
        <v>574</v>
      </c>
      <c r="I78" s="298">
        <f t="shared" si="5"/>
        <v>141073.75779028985</v>
      </c>
      <c r="J78" s="298"/>
      <c r="L78" s="258" t="s">
        <v>574</v>
      </c>
      <c r="M78" s="252">
        <f t="shared" si="4"/>
        <v>145217.4595081342</v>
      </c>
      <c r="N78" s="252"/>
      <c r="O78" s="252">
        <v>0</v>
      </c>
      <c r="P78" s="252"/>
      <c r="Q78" s="252">
        <f t="shared" si="3"/>
        <v>145217.4595081342</v>
      </c>
      <c r="R78" s="252"/>
    </row>
    <row r="79" spans="8:18" x14ac:dyDescent="0.25">
      <c r="H79" s="258" t="s">
        <v>575</v>
      </c>
      <c r="I79" s="298">
        <f t="shared" si="5"/>
        <v>141740.33129584897</v>
      </c>
      <c r="J79" s="298"/>
      <c r="L79" s="258" t="s">
        <v>575</v>
      </c>
      <c r="M79" s="252">
        <f t="shared" si="4"/>
        <v>146088.76426518301</v>
      </c>
      <c r="N79" s="252"/>
      <c r="O79" s="252">
        <v>0</v>
      </c>
      <c r="P79" s="252"/>
      <c r="Q79" s="252">
        <f t="shared" si="3"/>
        <v>146088.76426518301</v>
      </c>
      <c r="R79" s="252"/>
    </row>
    <row r="80" spans="8:18" x14ac:dyDescent="0.25">
      <c r="H80" s="258" t="s">
        <v>576</v>
      </c>
      <c r="I80" s="298">
        <f t="shared" si="5"/>
        <v>142410.05436122188</v>
      </c>
      <c r="J80" s="298"/>
      <c r="L80" s="258" t="s">
        <v>576</v>
      </c>
      <c r="M80" s="252">
        <f t="shared" si="4"/>
        <v>146965.29685077412</v>
      </c>
      <c r="N80" s="252"/>
      <c r="O80" s="252">
        <v>0</v>
      </c>
      <c r="P80" s="252"/>
      <c r="Q80" s="252">
        <f t="shared" si="3"/>
        <v>146965.29685077412</v>
      </c>
      <c r="R80" s="252"/>
    </row>
    <row r="81" spans="8:18" x14ac:dyDescent="0.25">
      <c r="H81" s="258" t="s">
        <v>577</v>
      </c>
      <c r="I81" s="298">
        <f t="shared" si="5"/>
        <v>143082.94186807866</v>
      </c>
      <c r="J81" s="298"/>
      <c r="L81" s="258" t="s">
        <v>577</v>
      </c>
      <c r="M81" s="252">
        <f t="shared" si="4"/>
        <v>147847.08863187875</v>
      </c>
      <c r="N81" s="252"/>
      <c r="O81" s="252">
        <v>0</v>
      </c>
      <c r="P81" s="252"/>
      <c r="Q81" s="252">
        <f t="shared" si="3"/>
        <v>147847.08863187875</v>
      </c>
      <c r="R81" s="252"/>
    </row>
    <row r="82" spans="8:18" x14ac:dyDescent="0.25">
      <c r="H82" s="258" t="s">
        <v>578</v>
      </c>
      <c r="I82" s="298">
        <f t="shared" si="5"/>
        <v>143759.00876840536</v>
      </c>
      <c r="J82" s="298"/>
      <c r="L82" s="258" t="s">
        <v>578</v>
      </c>
      <c r="M82" s="252">
        <f t="shared" si="4"/>
        <v>148734.17116367002</v>
      </c>
      <c r="N82" s="252"/>
      <c r="O82" s="252">
        <v>0</v>
      </c>
      <c r="P82" s="252"/>
      <c r="Q82" s="252">
        <f t="shared" si="3"/>
        <v>148734.17116367002</v>
      </c>
      <c r="R82" s="252"/>
    </row>
    <row r="83" spans="8:18" x14ac:dyDescent="0.25">
      <c r="H83" s="262" t="s">
        <v>579</v>
      </c>
      <c r="I83" s="299">
        <f t="shared" si="5"/>
        <v>144438.27008483608</v>
      </c>
      <c r="J83" s="299"/>
      <c r="L83" s="262" t="s">
        <v>579</v>
      </c>
      <c r="M83" s="300">
        <f t="shared" si="4"/>
        <v>149626.57619065203</v>
      </c>
      <c r="N83" s="300"/>
      <c r="O83" s="300">
        <f>(M83-Q77)*($E$10)</f>
        <v>791.28371863743814</v>
      </c>
      <c r="P83" s="300"/>
      <c r="Q83" s="300">
        <f t="shared" si="3"/>
        <v>148835.29247201461</v>
      </c>
      <c r="R83" s="300"/>
    </row>
    <row r="84" spans="8:18" x14ac:dyDescent="0.25">
      <c r="H84" s="258" t="s">
        <v>580</v>
      </c>
      <c r="I84" s="298">
        <f t="shared" si="5"/>
        <v>145120.74091098693</v>
      </c>
      <c r="J84" s="298"/>
      <c r="L84" s="258" t="s">
        <v>580</v>
      </c>
      <c r="M84" s="252">
        <f t="shared" si="4"/>
        <v>149728.3042268467</v>
      </c>
      <c r="N84" s="252"/>
      <c r="O84" s="252">
        <v>0</v>
      </c>
      <c r="P84" s="252"/>
      <c r="Q84" s="252">
        <f t="shared" si="3"/>
        <v>149728.3042268467</v>
      </c>
      <c r="R84" s="252"/>
    </row>
    <row r="85" spans="8:18" x14ac:dyDescent="0.25">
      <c r="H85" s="258" t="s">
        <v>581</v>
      </c>
      <c r="I85" s="298">
        <f t="shared" si="5"/>
        <v>145806.43641179136</v>
      </c>
      <c r="J85" s="298"/>
      <c r="L85" s="258" t="s">
        <v>581</v>
      </c>
      <c r="M85" s="252">
        <f t="shared" si="4"/>
        <v>150626.67405220779</v>
      </c>
      <c r="N85" s="252"/>
      <c r="O85" s="252">
        <v>0</v>
      </c>
      <c r="P85" s="252"/>
      <c r="Q85" s="252">
        <f t="shared" si="3"/>
        <v>150626.67405220779</v>
      </c>
      <c r="R85" s="252"/>
    </row>
    <row r="86" spans="8:18" x14ac:dyDescent="0.25">
      <c r="H86" s="258" t="s">
        <v>582</v>
      </c>
      <c r="I86" s="298">
        <f t="shared" si="5"/>
        <v>146495.37182383708</v>
      </c>
      <c r="J86" s="298"/>
      <c r="L86" s="258" t="s">
        <v>582</v>
      </c>
      <c r="M86" s="252">
        <f t="shared" si="4"/>
        <v>151530.43409652103</v>
      </c>
      <c r="N86" s="252"/>
      <c r="O86" s="252">
        <v>0</v>
      </c>
      <c r="P86" s="252"/>
      <c r="Q86" s="252">
        <f t="shared" si="3"/>
        <v>151530.43409652103</v>
      </c>
      <c r="R86" s="252"/>
    </row>
    <row r="87" spans="8:18" x14ac:dyDescent="0.25">
      <c r="H87" s="258" t="s">
        <v>583</v>
      </c>
      <c r="I87" s="298">
        <f t="shared" si="5"/>
        <v>147187.56245570473</v>
      </c>
      <c r="J87" s="298"/>
      <c r="L87" s="258" t="s">
        <v>583</v>
      </c>
      <c r="M87" s="252">
        <f t="shared" si="4"/>
        <v>152439.61670110017</v>
      </c>
      <c r="N87" s="252"/>
      <c r="O87" s="252">
        <v>0</v>
      </c>
      <c r="P87" s="252"/>
      <c r="Q87" s="252">
        <f t="shared" si="3"/>
        <v>152439.61670110017</v>
      </c>
      <c r="R87" s="252"/>
    </row>
    <row r="88" spans="8:18" x14ac:dyDescent="0.25">
      <c r="H88" s="258" t="s">
        <v>584</v>
      </c>
      <c r="I88" s="298">
        <f t="shared" si="5"/>
        <v>147883.02368830793</v>
      </c>
      <c r="J88" s="298"/>
      <c r="L88" s="258" t="s">
        <v>584</v>
      </c>
      <c r="M88" s="252">
        <f t="shared" si="4"/>
        <v>153354.25440130677</v>
      </c>
      <c r="N88" s="252"/>
      <c r="O88" s="252">
        <v>0</v>
      </c>
      <c r="P88" s="252"/>
      <c r="Q88" s="252">
        <f t="shared" si="3"/>
        <v>153354.25440130677</v>
      </c>
      <c r="R88" s="252"/>
    </row>
    <row r="89" spans="8:18" x14ac:dyDescent="0.25">
      <c r="H89" s="262" t="s">
        <v>585</v>
      </c>
      <c r="I89" s="299">
        <f t="shared" si="5"/>
        <v>148581.77097523521</v>
      </c>
      <c r="J89" s="299"/>
      <c r="L89" s="262" t="s">
        <v>585</v>
      </c>
      <c r="M89" s="300">
        <f t="shared" si="4"/>
        <v>154274.37992771462</v>
      </c>
      <c r="N89" s="300"/>
      <c r="O89" s="300">
        <f>(M89-Q83)*($E$10)</f>
        <v>815.86311835500089</v>
      </c>
      <c r="P89" s="300"/>
      <c r="Q89" s="300">
        <f t="shared" si="3"/>
        <v>153458.51680935963</v>
      </c>
      <c r="R89" s="300"/>
    </row>
    <row r="90" spans="8:18" x14ac:dyDescent="0.25">
      <c r="H90" s="258" t="s">
        <v>586</v>
      </c>
      <c r="I90" s="298">
        <f t="shared" si="5"/>
        <v>149283.8198430932</v>
      </c>
      <c r="J90" s="298"/>
      <c r="L90" s="258" t="s">
        <v>586</v>
      </c>
      <c r="M90" s="252">
        <f t="shared" si="4"/>
        <v>154379.2679102158</v>
      </c>
      <c r="N90" s="252"/>
      <c r="O90" s="252">
        <v>0</v>
      </c>
      <c r="P90" s="252"/>
      <c r="Q90" s="252">
        <f t="shared" si="3"/>
        <v>154379.2679102158</v>
      </c>
      <c r="R90" s="252"/>
    </row>
    <row r="91" spans="8:18" x14ac:dyDescent="0.25">
      <c r="H91" s="258" t="s">
        <v>587</v>
      </c>
      <c r="I91" s="298">
        <f t="shared" si="5"/>
        <v>149989.18589185181</v>
      </c>
      <c r="J91" s="298"/>
      <c r="L91" s="258" t="s">
        <v>587</v>
      </c>
      <c r="M91" s="252">
        <f t="shared" si="4"/>
        <v>155305.54351767708</v>
      </c>
      <c r="N91" s="252"/>
      <c r="O91" s="252">
        <v>0</v>
      </c>
      <c r="P91" s="252"/>
      <c r="Q91" s="252">
        <f t="shared" si="3"/>
        <v>155305.54351767708</v>
      </c>
      <c r="R91" s="252"/>
    </row>
    <row r="92" spans="8:18" x14ac:dyDescent="0.25">
      <c r="H92" s="258" t="s">
        <v>588</v>
      </c>
      <c r="I92" s="298">
        <f t="shared" si="5"/>
        <v>150697.88479519082</v>
      </c>
      <c r="J92" s="298"/>
      <c r="L92" s="258" t="s">
        <v>588</v>
      </c>
      <c r="M92" s="252">
        <f t="shared" si="4"/>
        <v>156237.37677878316</v>
      </c>
      <c r="N92" s="252"/>
      <c r="O92" s="252">
        <v>0</v>
      </c>
      <c r="P92" s="252"/>
      <c r="Q92" s="252">
        <f t="shared" si="3"/>
        <v>156237.37677878316</v>
      </c>
      <c r="R92" s="252"/>
    </row>
    <row r="93" spans="8:18" x14ac:dyDescent="0.25">
      <c r="H93" s="258" t="s">
        <v>589</v>
      </c>
      <c r="I93" s="298">
        <f t="shared" si="5"/>
        <v>151409.9323008481</v>
      </c>
      <c r="J93" s="298"/>
      <c r="L93" s="258" t="s">
        <v>589</v>
      </c>
      <c r="M93" s="252">
        <f t="shared" si="4"/>
        <v>157174.80103945587</v>
      </c>
      <c r="N93" s="252"/>
      <c r="O93" s="252">
        <v>0</v>
      </c>
      <c r="P93" s="252"/>
      <c r="Q93" s="252">
        <f t="shared" si="3"/>
        <v>157174.80103945587</v>
      </c>
      <c r="R93" s="252"/>
    </row>
    <row r="94" spans="8:18" x14ac:dyDescent="0.25">
      <c r="H94" s="258" t="s">
        <v>590</v>
      </c>
      <c r="I94" s="298">
        <f t="shared" si="5"/>
        <v>152125.34423096961</v>
      </c>
      <c r="J94" s="298"/>
      <c r="L94" s="258" t="s">
        <v>590</v>
      </c>
      <c r="M94" s="252">
        <f t="shared" si="4"/>
        <v>158117.8498456926</v>
      </c>
      <c r="N94" s="252"/>
      <c r="O94" s="252">
        <v>0</v>
      </c>
      <c r="P94" s="252"/>
      <c r="Q94" s="252">
        <f t="shared" si="3"/>
        <v>158117.8498456926</v>
      </c>
      <c r="R94" s="252"/>
    </row>
    <row r="95" spans="8:18" x14ac:dyDescent="0.25">
      <c r="H95" s="262" t="s">
        <v>591</v>
      </c>
      <c r="I95" s="299">
        <f t="shared" si="5"/>
        <v>152844.13648246095</v>
      </c>
      <c r="J95" s="299"/>
      <c r="L95" s="262" t="s">
        <v>591</v>
      </c>
      <c r="M95" s="300">
        <f t="shared" si="4"/>
        <v>159066.55694476675</v>
      </c>
      <c r="N95" s="300"/>
      <c r="O95" s="300">
        <f>(M95-Q89)*($E$10)</f>
        <v>841.2060203110683</v>
      </c>
      <c r="P95" s="300"/>
      <c r="Q95" s="300">
        <f t="shared" si="3"/>
        <v>158225.35092445568</v>
      </c>
      <c r="R95" s="300"/>
    </row>
    <row r="96" spans="8:18" x14ac:dyDescent="0.25">
      <c r="H96" s="258" t="s">
        <v>592</v>
      </c>
      <c r="I96" s="298">
        <f t="shared" si="5"/>
        <v>153566.32502734059</v>
      </c>
      <c r="J96" s="298"/>
      <c r="L96" s="258" t="s">
        <v>592</v>
      </c>
      <c r="M96" s="252">
        <f t="shared" si="4"/>
        <v>159174.70303000242</v>
      </c>
      <c r="N96" s="252"/>
      <c r="O96" s="252">
        <v>0</v>
      </c>
      <c r="P96" s="252"/>
      <c r="Q96" s="252">
        <f t="shared" si="3"/>
        <v>159174.70303000242</v>
      </c>
      <c r="R96" s="252"/>
    </row>
    <row r="97" spans="8:18" x14ac:dyDescent="0.25">
      <c r="H97" s="258" t="s">
        <v>593</v>
      </c>
      <c r="I97" s="298">
        <f t="shared" si="5"/>
        <v>154291.92591309478</v>
      </c>
      <c r="J97" s="298"/>
      <c r="L97" s="258" t="s">
        <v>593</v>
      </c>
      <c r="M97" s="252">
        <f t="shared" si="4"/>
        <v>160129.75124818244</v>
      </c>
      <c r="N97" s="252"/>
      <c r="O97" s="252">
        <v>0</v>
      </c>
      <c r="P97" s="252"/>
      <c r="Q97" s="252">
        <f t="shared" si="3"/>
        <v>160129.75124818244</v>
      </c>
      <c r="R97" s="252"/>
    </row>
    <row r="98" spans="8:18" x14ac:dyDescent="0.25">
      <c r="H98" s="258" t="s">
        <v>594</v>
      </c>
      <c r="I98" s="298">
        <f t="shared" si="5"/>
        <v>155020.95526303415</v>
      </c>
      <c r="J98" s="298"/>
      <c r="L98" s="258" t="s">
        <v>594</v>
      </c>
      <c r="M98" s="252">
        <f t="shared" si="4"/>
        <v>161090.52975567154</v>
      </c>
      <c r="N98" s="252"/>
      <c r="O98" s="252">
        <v>0</v>
      </c>
      <c r="P98" s="252"/>
      <c r="Q98" s="252">
        <f t="shared" si="3"/>
        <v>161090.52975567154</v>
      </c>
      <c r="R98" s="252"/>
    </row>
    <row r="99" spans="8:18" x14ac:dyDescent="0.25">
      <c r="H99" s="258" t="s">
        <v>595</v>
      </c>
      <c r="I99" s="298">
        <f t="shared" si="5"/>
        <v>155753.42927665199</v>
      </c>
      <c r="J99" s="298"/>
      <c r="L99" s="258" t="s">
        <v>595</v>
      </c>
      <c r="M99" s="252">
        <f t="shared" si="4"/>
        <v>162057.07293420556</v>
      </c>
      <c r="N99" s="252"/>
      <c r="O99" s="252">
        <v>0</v>
      </c>
      <c r="P99" s="252"/>
      <c r="Q99" s="252">
        <f t="shared" si="3"/>
        <v>162057.07293420556</v>
      </c>
      <c r="R99" s="252"/>
    </row>
    <row r="100" spans="8:18" x14ac:dyDescent="0.25">
      <c r="H100" s="258" t="s">
        <v>596</v>
      </c>
      <c r="I100" s="298">
        <f t="shared" si="5"/>
        <v>156489.3642299842</v>
      </c>
      <c r="J100" s="298"/>
      <c r="L100" s="258" t="s">
        <v>596</v>
      </c>
      <c r="M100" s="252">
        <f t="shared" si="4"/>
        <v>163029.41537181078</v>
      </c>
      <c r="N100" s="252"/>
      <c r="O100" s="252">
        <v>0</v>
      </c>
      <c r="P100" s="252"/>
      <c r="Q100" s="252">
        <f t="shared" si="3"/>
        <v>163029.41537181078</v>
      </c>
      <c r="R100" s="252"/>
    </row>
    <row r="101" spans="8:18" x14ac:dyDescent="0.25">
      <c r="H101" s="262" t="s">
        <v>597</v>
      </c>
      <c r="I101" s="299">
        <f t="shared" si="5"/>
        <v>157228.7764759709</v>
      </c>
      <c r="J101" s="299"/>
      <c r="L101" s="262" t="s">
        <v>597</v>
      </c>
      <c r="M101" s="300">
        <f t="shared" si="4"/>
        <v>164007.59186404166</v>
      </c>
      <c r="N101" s="300"/>
      <c r="O101" s="300">
        <f>(M101-Q95)*($E$10)</f>
        <v>867.33614093789799</v>
      </c>
      <c r="P101" s="300"/>
      <c r="Q101" s="300">
        <f t="shared" si="3"/>
        <v>163140.25572310376</v>
      </c>
      <c r="R101" s="300"/>
    </row>
    <row r="102" spans="8:18" x14ac:dyDescent="0.25">
      <c r="H102" s="258" t="s">
        <v>598</v>
      </c>
      <c r="I102" s="298">
        <f t="shared" si="5"/>
        <v>157971.68244481986</v>
      </c>
      <c r="J102" s="298"/>
      <c r="L102" s="258" t="s">
        <v>598</v>
      </c>
      <c r="M102" s="252">
        <f t="shared" si="4"/>
        <v>164119.09725744239</v>
      </c>
      <c r="N102" s="252"/>
      <c r="O102" s="252">
        <v>0</v>
      </c>
      <c r="P102" s="252"/>
      <c r="Q102" s="252">
        <f t="shared" si="3"/>
        <v>164119.09725744239</v>
      </c>
      <c r="R102" s="252"/>
    </row>
    <row r="103" spans="8:18" x14ac:dyDescent="0.25">
      <c r="H103" s="258" t="s">
        <v>599</v>
      </c>
      <c r="I103" s="298">
        <f t="shared" si="5"/>
        <v>158718.09864437164</v>
      </c>
      <c r="J103" s="298"/>
      <c r="L103" s="258" t="s">
        <v>599</v>
      </c>
      <c r="M103" s="252">
        <f t="shared" si="4"/>
        <v>165103.81184098704</v>
      </c>
      <c r="N103" s="252"/>
      <c r="O103" s="252">
        <v>0</v>
      </c>
      <c r="P103" s="252"/>
      <c r="Q103" s="252">
        <f t="shared" si="3"/>
        <v>165103.81184098704</v>
      </c>
      <c r="R103" s="252"/>
    </row>
    <row r="104" spans="8:18" x14ac:dyDescent="0.25">
      <c r="H104" s="258" t="s">
        <v>600</v>
      </c>
      <c r="I104" s="298">
        <f t="shared" si="5"/>
        <v>159468.04166046632</v>
      </c>
      <c r="J104" s="298"/>
      <c r="L104" s="258" t="s">
        <v>600</v>
      </c>
      <c r="M104" s="252">
        <f t="shared" si="4"/>
        <v>166094.43471203296</v>
      </c>
      <c r="N104" s="252"/>
      <c r="O104" s="252">
        <v>0</v>
      </c>
      <c r="P104" s="252"/>
      <c r="Q104" s="252">
        <f t="shared" si="3"/>
        <v>166094.43471203296</v>
      </c>
      <c r="R104" s="252"/>
    </row>
    <row r="105" spans="8:18" x14ac:dyDescent="0.25">
      <c r="H105" s="258" t="s">
        <v>601</v>
      </c>
      <c r="I105" s="298">
        <f t="shared" si="5"/>
        <v>160221.52815731204</v>
      </c>
      <c r="J105" s="298"/>
      <c r="L105" s="258" t="s">
        <v>601</v>
      </c>
      <c r="M105" s="252">
        <f t="shared" si="4"/>
        <v>167091.00132030516</v>
      </c>
      <c r="N105" s="252"/>
      <c r="O105" s="252">
        <v>0</v>
      </c>
      <c r="P105" s="252"/>
      <c r="Q105" s="252">
        <f t="shared" si="3"/>
        <v>167091.00132030516</v>
      </c>
      <c r="R105" s="252"/>
    </row>
    <row r="106" spans="8:18" x14ac:dyDescent="0.25">
      <c r="H106" s="258" t="s">
        <v>602</v>
      </c>
      <c r="I106" s="298">
        <f t="shared" si="5"/>
        <v>160978.57487785537</v>
      </c>
      <c r="J106" s="298"/>
      <c r="L106" s="258" t="s">
        <v>602</v>
      </c>
      <c r="M106" s="252">
        <f t="shared" si="4"/>
        <v>168093.547328227</v>
      </c>
      <c r="N106" s="252"/>
      <c r="O106" s="252">
        <v>0</v>
      </c>
      <c r="P106" s="252"/>
      <c r="Q106" s="252">
        <f t="shared" si="3"/>
        <v>168093.547328227</v>
      </c>
      <c r="R106" s="252"/>
    </row>
    <row r="107" spans="8:18" x14ac:dyDescent="0.25">
      <c r="H107" s="262" t="s">
        <v>603</v>
      </c>
      <c r="I107" s="299">
        <f t="shared" si="5"/>
        <v>161739.19864415325</v>
      </c>
      <c r="J107" s="299"/>
      <c r="L107" s="262" t="s">
        <v>603</v>
      </c>
      <c r="M107" s="300">
        <f t="shared" si="4"/>
        <v>169102.10861219635</v>
      </c>
      <c r="N107" s="300"/>
      <c r="O107" s="300">
        <f>(M107-Q101)*($E$10)</f>
        <v>894.27793336388709</v>
      </c>
      <c r="P107" s="300"/>
      <c r="Q107" s="300">
        <f t="shared" si="3"/>
        <v>168207.83067883246</v>
      </c>
      <c r="R107" s="300"/>
    </row>
    <row r="108" spans="8:18" x14ac:dyDescent="0.25">
      <c r="H108" s="258" t="s">
        <v>604</v>
      </c>
      <c r="I108" s="298">
        <f t="shared" si="5"/>
        <v>162503.4163577469</v>
      </c>
      <c r="J108" s="298"/>
      <c r="L108" s="258" t="s">
        <v>604</v>
      </c>
      <c r="M108" s="252">
        <f t="shared" si="4"/>
        <v>169217.07766290545</v>
      </c>
      <c r="N108" s="252"/>
      <c r="O108" s="252">
        <v>0</v>
      </c>
      <c r="P108" s="252"/>
      <c r="Q108" s="252">
        <f t="shared" si="3"/>
        <v>169217.07766290545</v>
      </c>
      <c r="R108" s="252"/>
    </row>
    <row r="109" spans="8:18" x14ac:dyDescent="0.25">
      <c r="H109" s="258" t="s">
        <v>605</v>
      </c>
      <c r="I109" s="298">
        <f t="shared" si="5"/>
        <v>163271.24500003728</v>
      </c>
      <c r="J109" s="298"/>
      <c r="L109" s="258" t="s">
        <v>605</v>
      </c>
      <c r="M109" s="252">
        <f t="shared" si="4"/>
        <v>170232.38012888288</v>
      </c>
      <c r="N109" s="252"/>
      <c r="O109" s="252">
        <v>0</v>
      </c>
      <c r="P109" s="252"/>
      <c r="Q109" s="252">
        <f t="shared" si="3"/>
        <v>170232.38012888288</v>
      </c>
      <c r="R109" s="252"/>
    </row>
    <row r="110" spans="8:18" x14ac:dyDescent="0.25">
      <c r="H110" s="258" t="s">
        <v>606</v>
      </c>
      <c r="I110" s="298">
        <f t="shared" si="5"/>
        <v>164042.70163266247</v>
      </c>
      <c r="J110" s="298"/>
      <c r="L110" s="258" t="s">
        <v>606</v>
      </c>
      <c r="M110" s="252">
        <f t="shared" si="4"/>
        <v>171253.77440965618</v>
      </c>
      <c r="N110" s="252"/>
      <c r="O110" s="252">
        <v>0</v>
      </c>
      <c r="P110" s="252"/>
      <c r="Q110" s="252">
        <f t="shared" si="3"/>
        <v>171253.77440965618</v>
      </c>
      <c r="R110" s="252"/>
    </row>
    <row r="111" spans="8:18" x14ac:dyDescent="0.25">
      <c r="H111" s="258" t="s">
        <v>607</v>
      </c>
      <c r="I111" s="298">
        <f t="shared" si="5"/>
        <v>164817.80339787682</v>
      </c>
      <c r="J111" s="298"/>
      <c r="L111" s="258" t="s">
        <v>607</v>
      </c>
      <c r="M111" s="252">
        <f t="shared" si="4"/>
        <v>172281.29705611413</v>
      </c>
      <c r="N111" s="252"/>
      <c r="O111" s="252">
        <v>0</v>
      </c>
      <c r="P111" s="252"/>
      <c r="Q111" s="252">
        <f t="shared" si="3"/>
        <v>172281.29705611413</v>
      </c>
      <c r="R111" s="252"/>
    </row>
    <row r="112" spans="8:18" x14ac:dyDescent="0.25">
      <c r="H112" s="258" t="s">
        <v>608</v>
      </c>
      <c r="I112" s="298">
        <f t="shared" si="5"/>
        <v>165596.56751893181</v>
      </c>
      <c r="J112" s="298"/>
      <c r="L112" s="258" t="s">
        <v>608</v>
      </c>
      <c r="M112" s="252">
        <f t="shared" si="4"/>
        <v>173314.98483845082</v>
      </c>
      <c r="N112" s="252"/>
      <c r="O112" s="252">
        <v>0</v>
      </c>
      <c r="P112" s="252"/>
      <c r="Q112" s="252">
        <f t="shared" si="3"/>
        <v>173314.98483845082</v>
      </c>
      <c r="R112" s="252"/>
    </row>
    <row r="113" spans="8:18" x14ac:dyDescent="0.25">
      <c r="H113" s="262" t="s">
        <v>609</v>
      </c>
      <c r="I113" s="299">
        <f t="shared" si="5"/>
        <v>166379.01130045878</v>
      </c>
      <c r="J113" s="299"/>
      <c r="L113" s="262" t="s">
        <v>609</v>
      </c>
      <c r="M113" s="300">
        <f t="shared" si="4"/>
        <v>174354.87474748152</v>
      </c>
      <c r="N113" s="300"/>
      <c r="O113" s="300">
        <f>(M113-Q107)*($E$10)</f>
        <v>922.05661029735927</v>
      </c>
      <c r="P113" s="300"/>
      <c r="Q113" s="300">
        <f t="shared" si="3"/>
        <v>173432.81813718416</v>
      </c>
      <c r="R113" s="300"/>
    </row>
    <row r="114" spans="8:18" x14ac:dyDescent="0.25">
      <c r="H114" s="258" t="s">
        <v>610</v>
      </c>
      <c r="I114" s="298">
        <f t="shared" si="5"/>
        <v>167165.15212885346</v>
      </c>
      <c r="J114" s="298"/>
      <c r="L114" s="258" t="s">
        <v>610</v>
      </c>
      <c r="M114" s="252">
        <f t="shared" si="4"/>
        <v>174473.41504600726</v>
      </c>
      <c r="N114" s="252"/>
      <c r="O114" s="252">
        <v>0</v>
      </c>
      <c r="P114" s="252"/>
      <c r="Q114" s="252">
        <f t="shared" si="3"/>
        <v>174473.41504600726</v>
      </c>
      <c r="R114" s="252"/>
    </row>
    <row r="115" spans="8:18" x14ac:dyDescent="0.25">
      <c r="H115" s="258" t="s">
        <v>611</v>
      </c>
      <c r="I115" s="298">
        <f t="shared" si="5"/>
        <v>167955.00747266231</v>
      </c>
      <c r="J115" s="298"/>
      <c r="L115" s="258" t="s">
        <v>611</v>
      </c>
      <c r="M115" s="252">
        <f t="shared" si="4"/>
        <v>175520.25553628331</v>
      </c>
      <c r="N115" s="252"/>
      <c r="O115" s="252">
        <v>0</v>
      </c>
      <c r="P115" s="252"/>
      <c r="Q115" s="252">
        <f t="shared" si="3"/>
        <v>175520.25553628331</v>
      </c>
      <c r="R115" s="252"/>
    </row>
    <row r="116" spans="8:18" x14ac:dyDescent="0.25">
      <c r="H116" s="258" t="s">
        <v>612</v>
      </c>
      <c r="I116" s="298">
        <f t="shared" si="5"/>
        <v>168748.59488297065</v>
      </c>
      <c r="J116" s="298"/>
      <c r="L116" s="258" t="s">
        <v>612</v>
      </c>
      <c r="M116" s="252">
        <f t="shared" si="4"/>
        <v>176573.377069501</v>
      </c>
      <c r="N116" s="252"/>
      <c r="O116" s="252">
        <v>0</v>
      </c>
      <c r="P116" s="252"/>
      <c r="Q116" s="252">
        <f t="shared" si="3"/>
        <v>176573.377069501</v>
      </c>
      <c r="R116" s="252"/>
    </row>
    <row r="117" spans="8:18" x14ac:dyDescent="0.25">
      <c r="H117" s="258" t="s">
        <v>613</v>
      </c>
      <c r="I117" s="298">
        <f t="shared" si="5"/>
        <v>169545.93199379271</v>
      </c>
      <c r="J117" s="298"/>
      <c r="L117" s="258" t="s">
        <v>613</v>
      </c>
      <c r="M117" s="252">
        <f t="shared" si="4"/>
        <v>177632.81733191802</v>
      </c>
      <c r="N117" s="252"/>
      <c r="O117" s="252">
        <v>0</v>
      </c>
      <c r="P117" s="252"/>
      <c r="Q117" s="252">
        <f t="shared" si="3"/>
        <v>177632.81733191802</v>
      </c>
      <c r="R117" s="252"/>
    </row>
    <row r="118" spans="8:18" x14ac:dyDescent="0.25">
      <c r="H118" s="258" t="s">
        <v>614</v>
      </c>
      <c r="I118" s="298">
        <f t="shared" si="5"/>
        <v>170347.0365224634</v>
      </c>
      <c r="J118" s="298"/>
      <c r="L118" s="258" t="s">
        <v>614</v>
      </c>
      <c r="M118" s="252">
        <f t="shared" si="4"/>
        <v>178698.61423590954</v>
      </c>
      <c r="N118" s="252"/>
      <c r="O118" s="252">
        <v>0</v>
      </c>
      <c r="P118" s="252"/>
      <c r="Q118" s="252">
        <f t="shared" si="3"/>
        <v>178698.61423590954</v>
      </c>
      <c r="R118" s="252"/>
    </row>
    <row r="119" spans="8:18" x14ac:dyDescent="0.25">
      <c r="H119" s="262" t="s">
        <v>615</v>
      </c>
      <c r="I119" s="299">
        <f t="shared" si="5"/>
        <v>171151.92627003207</v>
      </c>
      <c r="J119" s="299"/>
      <c r="L119" s="262" t="s">
        <v>615</v>
      </c>
      <c r="M119" s="300">
        <f t="shared" si="4"/>
        <v>179770.80592132499</v>
      </c>
      <c r="N119" s="300"/>
      <c r="O119" s="300">
        <f>(M119-Q113)*($E$10)</f>
        <v>950.69816762112453</v>
      </c>
      <c r="P119" s="300"/>
      <c r="Q119" s="300">
        <f t="shared" si="3"/>
        <v>178820.10775370387</v>
      </c>
      <c r="R119" s="300"/>
    </row>
    <row r="120" spans="8:18" x14ac:dyDescent="0.25">
      <c r="H120" s="258" t="s">
        <v>616</v>
      </c>
      <c r="I120" s="298">
        <f t="shared" si="5"/>
        <v>171960.61912165798</v>
      </c>
      <c r="J120" s="298"/>
      <c r="L120" s="258" t="s">
        <v>616</v>
      </c>
      <c r="M120" s="252">
        <f t="shared" si="4"/>
        <v>179893.02840022609</v>
      </c>
      <c r="N120" s="252"/>
      <c r="O120" s="252">
        <v>0</v>
      </c>
      <c r="P120" s="252"/>
      <c r="Q120" s="252">
        <f t="shared" si="3"/>
        <v>179893.02840022609</v>
      </c>
      <c r="R120" s="252"/>
    </row>
    <row r="121" spans="8:18" x14ac:dyDescent="0.25">
      <c r="H121" s="258" t="s">
        <v>617</v>
      </c>
      <c r="I121" s="298">
        <f t="shared" si="5"/>
        <v>172773.13304700784</v>
      </c>
      <c r="J121" s="298"/>
      <c r="L121" s="258" t="s">
        <v>617</v>
      </c>
      <c r="M121" s="252">
        <f t="shared" si="4"/>
        <v>180972.38657062745</v>
      </c>
      <c r="N121" s="252"/>
      <c r="O121" s="252">
        <v>0</v>
      </c>
      <c r="P121" s="252"/>
      <c r="Q121" s="252">
        <f t="shared" si="3"/>
        <v>180972.38657062745</v>
      </c>
      <c r="R121" s="252"/>
    </row>
    <row r="122" spans="8:18" x14ac:dyDescent="0.25">
      <c r="H122" s="258" t="s">
        <v>618</v>
      </c>
      <c r="I122" s="298">
        <f t="shared" si="5"/>
        <v>173589.48610065496</v>
      </c>
      <c r="J122" s="298"/>
      <c r="L122" s="258" t="s">
        <v>618</v>
      </c>
      <c r="M122" s="252">
        <f t="shared" si="4"/>
        <v>182058.22089005122</v>
      </c>
      <c r="N122" s="252"/>
      <c r="O122" s="252">
        <v>0</v>
      </c>
      <c r="P122" s="252"/>
      <c r="Q122" s="252">
        <f t="shared" si="3"/>
        <v>182058.22089005122</v>
      </c>
      <c r="R122" s="252"/>
    </row>
    <row r="123" spans="8:18" x14ac:dyDescent="0.25">
      <c r="H123" s="258" t="s">
        <v>619</v>
      </c>
      <c r="I123" s="298">
        <f t="shared" si="5"/>
        <v>174409.69642248057</v>
      </c>
      <c r="J123" s="298"/>
      <c r="L123" s="258" t="s">
        <v>619</v>
      </c>
      <c r="M123" s="252">
        <f t="shared" si="4"/>
        <v>183150.57021539152</v>
      </c>
      <c r="N123" s="252"/>
      <c r="O123" s="252">
        <v>0</v>
      </c>
      <c r="P123" s="252"/>
      <c r="Q123" s="252">
        <f t="shared" si="3"/>
        <v>183150.57021539152</v>
      </c>
      <c r="R123" s="252"/>
    </row>
    <row r="124" spans="8:18" x14ac:dyDescent="0.25">
      <c r="H124" s="258" t="s">
        <v>620</v>
      </c>
      <c r="I124" s="298">
        <f t="shared" si="5"/>
        <v>175233.78223807682</v>
      </c>
      <c r="J124" s="298"/>
      <c r="L124" s="258" t="s">
        <v>620</v>
      </c>
      <c r="M124" s="252">
        <f t="shared" si="4"/>
        <v>184249.47363668386</v>
      </c>
      <c r="N124" s="252"/>
      <c r="O124" s="252">
        <v>0</v>
      </c>
      <c r="P124" s="252"/>
      <c r="Q124" s="252">
        <f t="shared" si="3"/>
        <v>184249.47363668386</v>
      </c>
      <c r="R124" s="252"/>
    </row>
    <row r="125" spans="8:18" x14ac:dyDescent="0.25">
      <c r="H125" s="262" t="s">
        <v>621</v>
      </c>
      <c r="I125" s="299">
        <f t="shared" si="5"/>
        <v>176061.76185915174</v>
      </c>
      <c r="J125" s="299"/>
      <c r="L125" s="262" t="s">
        <v>621</v>
      </c>
      <c r="M125" s="300">
        <f t="shared" si="4"/>
        <v>185354.97047850396</v>
      </c>
      <c r="N125" s="300"/>
      <c r="O125" s="300">
        <f>(M125-Q119)*($E$10)</f>
        <v>980.22940872001482</v>
      </c>
      <c r="P125" s="300"/>
      <c r="Q125" s="300">
        <f t="shared" si="3"/>
        <v>184374.74106978395</v>
      </c>
      <c r="R125" s="300"/>
    </row>
  </sheetData>
  <mergeCells count="512">
    <mergeCell ref="O123:P123"/>
    <mergeCell ref="Q123:R123"/>
    <mergeCell ref="O124:P124"/>
    <mergeCell ref="Q124:R124"/>
    <mergeCell ref="O125:P125"/>
    <mergeCell ref="Q125:R125"/>
    <mergeCell ref="O120:P120"/>
    <mergeCell ref="Q120:R120"/>
    <mergeCell ref="O121:P121"/>
    <mergeCell ref="Q121:R121"/>
    <mergeCell ref="O122:P122"/>
    <mergeCell ref="Q122:R122"/>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05:P105"/>
    <mergeCell ref="Q105:R105"/>
    <mergeCell ref="O106:P106"/>
    <mergeCell ref="Q106:R106"/>
    <mergeCell ref="O107:P107"/>
    <mergeCell ref="Q107:R107"/>
    <mergeCell ref="O102:P102"/>
    <mergeCell ref="Q102:R102"/>
    <mergeCell ref="O103:P103"/>
    <mergeCell ref="Q103:R103"/>
    <mergeCell ref="O104:P104"/>
    <mergeCell ref="Q104:R104"/>
    <mergeCell ref="O99:P99"/>
    <mergeCell ref="Q99:R99"/>
    <mergeCell ref="O100:P100"/>
    <mergeCell ref="Q100:R100"/>
    <mergeCell ref="O101:P101"/>
    <mergeCell ref="Q101:R101"/>
    <mergeCell ref="O96:P96"/>
    <mergeCell ref="Q96:R96"/>
    <mergeCell ref="O97:P97"/>
    <mergeCell ref="Q97:R97"/>
    <mergeCell ref="O98:P98"/>
    <mergeCell ref="Q98:R98"/>
    <mergeCell ref="O93:P93"/>
    <mergeCell ref="Q93:R93"/>
    <mergeCell ref="O94:P94"/>
    <mergeCell ref="Q94:R94"/>
    <mergeCell ref="O95:P95"/>
    <mergeCell ref="Q95:R95"/>
    <mergeCell ref="O90:P90"/>
    <mergeCell ref="Q90:R90"/>
    <mergeCell ref="O91:P91"/>
    <mergeCell ref="Q91:R91"/>
    <mergeCell ref="O92:P92"/>
    <mergeCell ref="Q92:R92"/>
    <mergeCell ref="O87:P87"/>
    <mergeCell ref="Q87:R87"/>
    <mergeCell ref="O88:P88"/>
    <mergeCell ref="Q88:R88"/>
    <mergeCell ref="O89:P89"/>
    <mergeCell ref="Q89:R89"/>
    <mergeCell ref="O84:P84"/>
    <mergeCell ref="Q84:R84"/>
    <mergeCell ref="O85:P85"/>
    <mergeCell ref="Q85:R85"/>
    <mergeCell ref="O86:P86"/>
    <mergeCell ref="Q86:R86"/>
    <mergeCell ref="O81:P81"/>
    <mergeCell ref="Q81:R81"/>
    <mergeCell ref="O82:P82"/>
    <mergeCell ref="Q82:R82"/>
    <mergeCell ref="O83:P83"/>
    <mergeCell ref="Q83:R83"/>
    <mergeCell ref="O78:P78"/>
    <mergeCell ref="Q78:R78"/>
    <mergeCell ref="O79:P79"/>
    <mergeCell ref="Q79:R79"/>
    <mergeCell ref="O80:P80"/>
    <mergeCell ref="Q80:R80"/>
    <mergeCell ref="O75:P75"/>
    <mergeCell ref="Q75:R75"/>
    <mergeCell ref="O76:P76"/>
    <mergeCell ref="Q76:R76"/>
    <mergeCell ref="O77:P77"/>
    <mergeCell ref="Q77:R77"/>
    <mergeCell ref="O72:P72"/>
    <mergeCell ref="Q72:R72"/>
    <mergeCell ref="O73:P73"/>
    <mergeCell ref="Q73:R73"/>
    <mergeCell ref="O74:P74"/>
    <mergeCell ref="Q74:R74"/>
    <mergeCell ref="O69:P69"/>
    <mergeCell ref="Q69:R69"/>
    <mergeCell ref="O70:P70"/>
    <mergeCell ref="Q70:R70"/>
    <mergeCell ref="O71:P71"/>
    <mergeCell ref="Q71:R71"/>
    <mergeCell ref="O66:P66"/>
    <mergeCell ref="Q66:R66"/>
    <mergeCell ref="O67:P67"/>
    <mergeCell ref="Q67:R67"/>
    <mergeCell ref="O68:P68"/>
    <mergeCell ref="Q68:R68"/>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9:P39"/>
    <mergeCell ref="Q39:R39"/>
    <mergeCell ref="O40:P40"/>
    <mergeCell ref="Q40:R40"/>
    <mergeCell ref="O41:P41"/>
    <mergeCell ref="Q41:R41"/>
    <mergeCell ref="O36:P36"/>
    <mergeCell ref="Q36:R36"/>
    <mergeCell ref="O37:P37"/>
    <mergeCell ref="Q37:R37"/>
    <mergeCell ref="O38:P38"/>
    <mergeCell ref="Q38:R38"/>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Q12:R12"/>
    <mergeCell ref="O13:P13"/>
    <mergeCell ref="Q13:R13"/>
    <mergeCell ref="O14:P14"/>
    <mergeCell ref="Q14:R14"/>
    <mergeCell ref="M123:N123"/>
    <mergeCell ref="M124:N124"/>
    <mergeCell ref="M125:N125"/>
    <mergeCell ref="O6:P6"/>
    <mergeCell ref="Q6:R6"/>
    <mergeCell ref="O7:P7"/>
    <mergeCell ref="Q7:R7"/>
    <mergeCell ref="O8:P8"/>
    <mergeCell ref="Q8:R8"/>
    <mergeCell ref="O9:P9"/>
    <mergeCell ref="Q9:R9"/>
    <mergeCell ref="O10:P10"/>
    <mergeCell ref="Q10:R10"/>
    <mergeCell ref="O11:P11"/>
    <mergeCell ref="Q11:R11"/>
    <mergeCell ref="O12:P12"/>
    <mergeCell ref="M118:N118"/>
    <mergeCell ref="M119:N119"/>
    <mergeCell ref="M120:N120"/>
    <mergeCell ref="M121:N121"/>
    <mergeCell ref="M122:N122"/>
    <mergeCell ref="M113:N113"/>
    <mergeCell ref="M114:N114"/>
    <mergeCell ref="M115:N115"/>
    <mergeCell ref="M116:N116"/>
    <mergeCell ref="M117:N117"/>
    <mergeCell ref="M108:N108"/>
    <mergeCell ref="M109:N109"/>
    <mergeCell ref="M110:N110"/>
    <mergeCell ref="M111:N111"/>
    <mergeCell ref="M112:N112"/>
    <mergeCell ref="M103:N103"/>
    <mergeCell ref="M104:N104"/>
    <mergeCell ref="M105:N105"/>
    <mergeCell ref="M106:N106"/>
    <mergeCell ref="M107:N107"/>
    <mergeCell ref="M98:N98"/>
    <mergeCell ref="M99:N99"/>
    <mergeCell ref="M100:N100"/>
    <mergeCell ref="M101:N101"/>
    <mergeCell ref="M102:N102"/>
    <mergeCell ref="M93:N93"/>
    <mergeCell ref="M94:N94"/>
    <mergeCell ref="M95:N95"/>
    <mergeCell ref="M96:N96"/>
    <mergeCell ref="M97:N97"/>
    <mergeCell ref="M88:N88"/>
    <mergeCell ref="M89:N89"/>
    <mergeCell ref="M90:N90"/>
    <mergeCell ref="M91:N91"/>
    <mergeCell ref="M92:N92"/>
    <mergeCell ref="M83:N83"/>
    <mergeCell ref="M84:N84"/>
    <mergeCell ref="M85:N85"/>
    <mergeCell ref="M86:N86"/>
    <mergeCell ref="M87:N87"/>
    <mergeCell ref="M78:N78"/>
    <mergeCell ref="M79:N79"/>
    <mergeCell ref="M80:N80"/>
    <mergeCell ref="M81:N81"/>
    <mergeCell ref="M82:N82"/>
    <mergeCell ref="M73:N73"/>
    <mergeCell ref="M74:N74"/>
    <mergeCell ref="M75:N75"/>
    <mergeCell ref="M76:N76"/>
    <mergeCell ref="M77:N77"/>
    <mergeCell ref="M68:N68"/>
    <mergeCell ref="M69:N69"/>
    <mergeCell ref="M70:N70"/>
    <mergeCell ref="M71:N71"/>
    <mergeCell ref="M72:N72"/>
    <mergeCell ref="M63:N63"/>
    <mergeCell ref="M64:N64"/>
    <mergeCell ref="M65:N65"/>
    <mergeCell ref="M66:N66"/>
    <mergeCell ref="M67:N67"/>
    <mergeCell ref="M58:N58"/>
    <mergeCell ref="M59:N59"/>
    <mergeCell ref="M60:N60"/>
    <mergeCell ref="M61:N61"/>
    <mergeCell ref="M62:N62"/>
    <mergeCell ref="M53:N53"/>
    <mergeCell ref="M54:N54"/>
    <mergeCell ref="M55:N55"/>
    <mergeCell ref="M56:N56"/>
    <mergeCell ref="M57:N57"/>
    <mergeCell ref="M48:N48"/>
    <mergeCell ref="M49:N49"/>
    <mergeCell ref="M50:N50"/>
    <mergeCell ref="M51:N51"/>
    <mergeCell ref="M52:N52"/>
    <mergeCell ref="M43:N43"/>
    <mergeCell ref="M44:N44"/>
    <mergeCell ref="M45:N45"/>
    <mergeCell ref="M46:N46"/>
    <mergeCell ref="M47:N47"/>
    <mergeCell ref="M38:N38"/>
    <mergeCell ref="M39:N39"/>
    <mergeCell ref="M40:N40"/>
    <mergeCell ref="M41:N41"/>
    <mergeCell ref="M42:N42"/>
    <mergeCell ref="M33:N33"/>
    <mergeCell ref="M34:N34"/>
    <mergeCell ref="M35:N35"/>
    <mergeCell ref="M36:N36"/>
    <mergeCell ref="M37:N37"/>
    <mergeCell ref="M28:N28"/>
    <mergeCell ref="M29:N29"/>
    <mergeCell ref="M30:N30"/>
    <mergeCell ref="M31:N31"/>
    <mergeCell ref="M32:N32"/>
    <mergeCell ref="M23:N23"/>
    <mergeCell ref="M24:N24"/>
    <mergeCell ref="M25:N25"/>
    <mergeCell ref="M26:N26"/>
    <mergeCell ref="M27:N27"/>
    <mergeCell ref="M18:N18"/>
    <mergeCell ref="M19:N19"/>
    <mergeCell ref="M20:N20"/>
    <mergeCell ref="M21:N21"/>
    <mergeCell ref="M22:N22"/>
    <mergeCell ref="I122:J122"/>
    <mergeCell ref="I123:J123"/>
    <mergeCell ref="I124:J124"/>
    <mergeCell ref="I125:J125"/>
    <mergeCell ref="M6:N6"/>
    <mergeCell ref="M7:N7"/>
    <mergeCell ref="M8:N8"/>
    <mergeCell ref="M9:N9"/>
    <mergeCell ref="M10:N10"/>
    <mergeCell ref="M11:N11"/>
    <mergeCell ref="M12:N12"/>
    <mergeCell ref="M13:N13"/>
    <mergeCell ref="M14:N14"/>
    <mergeCell ref="M15:N15"/>
    <mergeCell ref="M16:N16"/>
    <mergeCell ref="M17:N17"/>
    <mergeCell ref="I117:J117"/>
    <mergeCell ref="I118:J118"/>
    <mergeCell ref="I119:J119"/>
    <mergeCell ref="I120:J120"/>
    <mergeCell ref="I121:J121"/>
    <mergeCell ref="I112:J112"/>
    <mergeCell ref="I113:J113"/>
    <mergeCell ref="I114:J114"/>
    <mergeCell ref="I115:J115"/>
    <mergeCell ref="I116:J116"/>
    <mergeCell ref="I107:J107"/>
    <mergeCell ref="I108:J108"/>
    <mergeCell ref="I109:J109"/>
    <mergeCell ref="I110:J110"/>
    <mergeCell ref="I111:J111"/>
    <mergeCell ref="I102:J102"/>
    <mergeCell ref="I103:J103"/>
    <mergeCell ref="I104:J104"/>
    <mergeCell ref="I105:J105"/>
    <mergeCell ref="I106:J106"/>
    <mergeCell ref="I97:J97"/>
    <mergeCell ref="I98:J98"/>
    <mergeCell ref="I99:J99"/>
    <mergeCell ref="I100:J100"/>
    <mergeCell ref="I101:J101"/>
    <mergeCell ref="I92:J92"/>
    <mergeCell ref="I93:J93"/>
    <mergeCell ref="I94:J94"/>
    <mergeCell ref="I95:J95"/>
    <mergeCell ref="I96:J96"/>
    <mergeCell ref="I87:J87"/>
    <mergeCell ref="I88:J88"/>
    <mergeCell ref="I89:J89"/>
    <mergeCell ref="I90:J90"/>
    <mergeCell ref="I91:J91"/>
    <mergeCell ref="I82:J82"/>
    <mergeCell ref="I83:J83"/>
    <mergeCell ref="I84:J84"/>
    <mergeCell ref="I85:J85"/>
    <mergeCell ref="I86:J86"/>
    <mergeCell ref="I77:J77"/>
    <mergeCell ref="I78:J78"/>
    <mergeCell ref="I79:J79"/>
    <mergeCell ref="I80:J80"/>
    <mergeCell ref="I81:J81"/>
    <mergeCell ref="I72:J72"/>
    <mergeCell ref="I73:J73"/>
    <mergeCell ref="I74:J74"/>
    <mergeCell ref="I75:J75"/>
    <mergeCell ref="I76:J76"/>
    <mergeCell ref="I67:J67"/>
    <mergeCell ref="I68:J68"/>
    <mergeCell ref="I69:J69"/>
    <mergeCell ref="I70:J70"/>
    <mergeCell ref="I71:J71"/>
    <mergeCell ref="I62:J62"/>
    <mergeCell ref="I63:J63"/>
    <mergeCell ref="I64:J64"/>
    <mergeCell ref="I65:J65"/>
    <mergeCell ref="I66:J66"/>
    <mergeCell ref="I57:J57"/>
    <mergeCell ref="I58:J58"/>
    <mergeCell ref="I59:J59"/>
    <mergeCell ref="I60:J60"/>
    <mergeCell ref="I61:J61"/>
    <mergeCell ref="I52:J52"/>
    <mergeCell ref="I53:J53"/>
    <mergeCell ref="I54:J54"/>
    <mergeCell ref="I55:J55"/>
    <mergeCell ref="I56:J56"/>
    <mergeCell ref="I47:J47"/>
    <mergeCell ref="I48:J48"/>
    <mergeCell ref="I49:J49"/>
    <mergeCell ref="I50:J50"/>
    <mergeCell ref="I51:J51"/>
    <mergeCell ref="I42:J42"/>
    <mergeCell ref="I43:J43"/>
    <mergeCell ref="I44:J44"/>
    <mergeCell ref="I45:J45"/>
    <mergeCell ref="I46:J46"/>
    <mergeCell ref="I37:J37"/>
    <mergeCell ref="I38:J38"/>
    <mergeCell ref="I39:J39"/>
    <mergeCell ref="I40:J40"/>
    <mergeCell ref="I41:J41"/>
    <mergeCell ref="I32:J32"/>
    <mergeCell ref="I33:J33"/>
    <mergeCell ref="I34:J34"/>
    <mergeCell ref="I35:J35"/>
    <mergeCell ref="I36:J36"/>
    <mergeCell ref="I27:J27"/>
    <mergeCell ref="I28:J28"/>
    <mergeCell ref="I29:J29"/>
    <mergeCell ref="I30:J30"/>
    <mergeCell ref="I31:J31"/>
    <mergeCell ref="I22:J22"/>
    <mergeCell ref="I23:J23"/>
    <mergeCell ref="I24:J24"/>
    <mergeCell ref="I25:J25"/>
    <mergeCell ref="I26:J26"/>
    <mergeCell ref="I17:J17"/>
    <mergeCell ref="I18:J18"/>
    <mergeCell ref="I19:J19"/>
    <mergeCell ref="I20:J20"/>
    <mergeCell ref="I21:J21"/>
    <mergeCell ref="B22:F22"/>
    <mergeCell ref="I5:J5"/>
    <mergeCell ref="M5:N5"/>
    <mergeCell ref="O5:P5"/>
    <mergeCell ref="Q5:R5"/>
    <mergeCell ref="I6:J6"/>
    <mergeCell ref="I7:J7"/>
    <mergeCell ref="I8:J8"/>
    <mergeCell ref="I9:J9"/>
    <mergeCell ref="I10:J10"/>
    <mergeCell ref="I11:J11"/>
    <mergeCell ref="I12:J12"/>
    <mergeCell ref="I13:J13"/>
    <mergeCell ref="I14:J14"/>
    <mergeCell ref="I15:J15"/>
    <mergeCell ref="I16:J16"/>
    <mergeCell ref="B18:D18"/>
    <mergeCell ref="B19:D19"/>
    <mergeCell ref="B20:D20"/>
    <mergeCell ref="E13:F13"/>
    <mergeCell ref="E14:F14"/>
    <mergeCell ref="E15:F15"/>
    <mergeCell ref="E16:F16"/>
    <mergeCell ref="E18:F18"/>
    <mergeCell ref="E19:F19"/>
    <mergeCell ref="E20:F20"/>
    <mergeCell ref="B12:F12"/>
    <mergeCell ref="B13:D13"/>
    <mergeCell ref="B14:D14"/>
    <mergeCell ref="B15:D15"/>
    <mergeCell ref="B16:D16"/>
    <mergeCell ref="B6:D6"/>
    <mergeCell ref="B10:D10"/>
    <mergeCell ref="B9:D9"/>
    <mergeCell ref="B8:D8"/>
    <mergeCell ref="B7:D7"/>
    <mergeCell ref="E9:F9"/>
    <mergeCell ref="E10:F10"/>
    <mergeCell ref="E8:F8"/>
    <mergeCell ref="E7:F7"/>
    <mergeCell ref="E6:F6"/>
    <mergeCell ref="B5:F5"/>
    <mergeCell ref="B2:S2"/>
  </mergeCells>
  <dataValidations count="1">
    <dataValidation type="list" allowBlank="1" showInputMessage="1" showErrorMessage="1" sqref="E10:F10" xr:uid="{8EC80E4D-5CDC-43E4-A67B-EFA499B2EE7E}">
      <mc:AlternateContent xmlns:x12ac="http://schemas.microsoft.com/office/spreadsheetml/2011/1/ac" xmlns:mc="http://schemas.openxmlformats.org/markup-compatibility/2006">
        <mc:Choice Requires="x12ac">
          <x12ac:list>"15,00%"," 20,00%"</x12ac:list>
        </mc:Choice>
        <mc:Fallback>
          <formula1>"15,00%, 20,00%"</formula1>
        </mc:Fallback>
      </mc:AlternateContent>
    </dataValidation>
  </dataValidations>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EF7B-E41F-4E56-8EC3-F760A8E3C47E}">
  <sheetPr>
    <tabColor theme="4" tint="-0.249977111117893"/>
  </sheetPr>
  <dimension ref="B2:Q65"/>
  <sheetViews>
    <sheetView workbookViewId="0">
      <selection activeCell="B2" sqref="B2:Q2"/>
    </sheetView>
  </sheetViews>
  <sheetFormatPr defaultRowHeight="15" x14ac:dyDescent="0.25"/>
  <cols>
    <col min="1" max="1" width="8.5703125" style="1" customWidth="1"/>
    <col min="2" max="4" width="10.7109375" style="1" customWidth="1"/>
    <col min="5" max="5" width="9.140625" style="1"/>
    <col min="6" max="7" width="8.5703125" style="1" customWidth="1"/>
    <col min="8" max="8" width="7.85546875" style="1" customWidth="1"/>
    <col min="9" max="11" width="9.140625" style="1"/>
    <col min="12" max="13" width="10.7109375" style="1" customWidth="1"/>
    <col min="14" max="16384" width="9.140625" style="1"/>
  </cols>
  <sheetData>
    <row r="2" spans="2:17" ht="32.25" x14ac:dyDescent="0.25">
      <c r="B2" s="70" t="s">
        <v>367</v>
      </c>
      <c r="C2" s="70"/>
      <c r="D2" s="70"/>
      <c r="E2" s="70"/>
      <c r="F2" s="70"/>
      <c r="G2" s="70"/>
      <c r="H2" s="70"/>
      <c r="I2" s="70"/>
      <c r="J2" s="70"/>
      <c r="K2" s="70"/>
      <c r="L2" s="70"/>
      <c r="M2" s="70"/>
      <c r="N2" s="70"/>
      <c r="O2" s="70"/>
      <c r="P2" s="70"/>
      <c r="Q2" s="70"/>
    </row>
    <row r="5" spans="2:17" ht="15.75" x14ac:dyDescent="0.25">
      <c r="B5" s="131" t="s">
        <v>335</v>
      </c>
      <c r="C5" s="131"/>
      <c r="D5" s="131"/>
      <c r="E5" s="131"/>
      <c r="F5" s="131"/>
      <c r="G5" s="131"/>
      <c r="I5" s="49" t="s">
        <v>342</v>
      </c>
      <c r="J5" s="131" t="s">
        <v>495</v>
      </c>
      <c r="K5" s="131"/>
      <c r="L5" s="131" t="s">
        <v>497</v>
      </c>
      <c r="M5" s="131"/>
      <c r="N5" s="131" t="s">
        <v>498</v>
      </c>
      <c r="O5" s="131"/>
      <c r="P5" s="131" t="s">
        <v>499</v>
      </c>
      <c r="Q5" s="131"/>
    </row>
    <row r="6" spans="2:17" x14ac:dyDescent="0.25">
      <c r="B6" s="254" t="s">
        <v>425</v>
      </c>
      <c r="C6" s="254"/>
      <c r="D6" s="254"/>
      <c r="E6" s="254"/>
      <c r="F6" s="252">
        <v>13000</v>
      </c>
      <c r="G6" s="252"/>
      <c r="I6" s="258" t="s">
        <v>435</v>
      </c>
      <c r="J6" s="260">
        <f>(F12*$F$9)+F12</f>
        <v>13070.2</v>
      </c>
      <c r="K6" s="261"/>
      <c r="L6" s="264">
        <v>0</v>
      </c>
      <c r="M6" s="264"/>
      <c r="N6" s="264">
        <v>0</v>
      </c>
      <c r="O6" s="264"/>
      <c r="P6" s="264">
        <f>J6-L6-N6</f>
        <v>13070.2</v>
      </c>
      <c r="Q6" s="264"/>
    </row>
    <row r="7" spans="2:17" x14ac:dyDescent="0.25">
      <c r="B7" s="255" t="s">
        <v>496</v>
      </c>
      <c r="C7" s="255"/>
      <c r="D7" s="255"/>
      <c r="E7" s="255"/>
      <c r="F7" s="97">
        <v>0</v>
      </c>
      <c r="G7" s="97"/>
      <c r="I7" s="258" t="s">
        <v>436</v>
      </c>
      <c r="J7" s="260">
        <f>(P6*$F$9)+P6</f>
        <v>13140.77908</v>
      </c>
      <c r="K7" s="261"/>
      <c r="L7" s="264">
        <v>0</v>
      </c>
      <c r="M7" s="264"/>
      <c r="N7" s="264">
        <v>0</v>
      </c>
      <c r="O7" s="264"/>
      <c r="P7" s="264">
        <f>J7-L7-N7</f>
        <v>13140.77908</v>
      </c>
      <c r="Q7" s="264"/>
    </row>
    <row r="8" spans="2:17" x14ac:dyDescent="0.25">
      <c r="B8" s="255" t="s">
        <v>426</v>
      </c>
      <c r="C8" s="255"/>
      <c r="D8" s="255"/>
      <c r="E8" s="255"/>
      <c r="F8" s="97">
        <v>2.5000000000000001E-3</v>
      </c>
      <c r="G8" s="97"/>
      <c r="I8" s="258" t="s">
        <v>437</v>
      </c>
      <c r="J8" s="260">
        <f>(P7*$F$9)+P7</f>
        <v>13211.739287032</v>
      </c>
      <c r="K8" s="261"/>
      <c r="L8" s="264">
        <v>0</v>
      </c>
      <c r="M8" s="264"/>
      <c r="N8" s="264">
        <v>0</v>
      </c>
      <c r="O8" s="264"/>
      <c r="P8" s="264">
        <f t="shared" ref="P7:P65" si="0">J8-L8-N8</f>
        <v>13211.739287032</v>
      </c>
      <c r="Q8" s="264"/>
    </row>
    <row r="9" spans="2:17" x14ac:dyDescent="0.25">
      <c r="B9" s="255" t="s">
        <v>434</v>
      </c>
      <c r="C9" s="255"/>
      <c r="D9" s="255"/>
      <c r="E9" s="255"/>
      <c r="F9" s="97">
        <v>5.4000000000000003E-3</v>
      </c>
      <c r="G9" s="97"/>
      <c r="I9" s="258" t="s">
        <v>438</v>
      </c>
      <c r="J9" s="260">
        <f t="shared" ref="J9:J65" si="1">(P8*$F$9)+P8</f>
        <v>13283.082679181973</v>
      </c>
      <c r="K9" s="261"/>
      <c r="L9" s="264">
        <v>0</v>
      </c>
      <c r="M9" s="264"/>
      <c r="N9" s="264">
        <v>0</v>
      </c>
      <c r="O9" s="264"/>
      <c r="P9" s="264">
        <f t="shared" si="0"/>
        <v>13283.082679181973</v>
      </c>
      <c r="Q9" s="264"/>
    </row>
    <row r="10" spans="2:17" x14ac:dyDescent="0.25">
      <c r="I10" s="258" t="s">
        <v>439</v>
      </c>
      <c r="J10" s="260">
        <f t="shared" si="1"/>
        <v>13354.811325649556</v>
      </c>
      <c r="K10" s="261"/>
      <c r="L10" s="264">
        <v>0</v>
      </c>
      <c r="M10" s="264"/>
      <c r="N10" s="264">
        <v>0</v>
      </c>
      <c r="O10" s="264"/>
      <c r="P10" s="264">
        <f t="shared" si="0"/>
        <v>13354.811325649556</v>
      </c>
      <c r="Q10" s="264"/>
    </row>
    <row r="11" spans="2:17" ht="15.75" x14ac:dyDescent="0.25">
      <c r="B11" s="131" t="s">
        <v>427</v>
      </c>
      <c r="C11" s="131"/>
      <c r="D11" s="131"/>
      <c r="E11" s="131"/>
      <c r="F11" s="131"/>
      <c r="G11" s="131"/>
      <c r="I11" s="262" t="s">
        <v>440</v>
      </c>
      <c r="J11" s="266">
        <f t="shared" si="1"/>
        <v>13426.927306808064</v>
      </c>
      <c r="K11" s="263"/>
      <c r="L11" s="265">
        <f>J11*($F$7/2)</f>
        <v>0</v>
      </c>
      <c r="M11" s="265"/>
      <c r="N11" s="265">
        <f>J11*($F$8/2)</f>
        <v>16.783659133510081</v>
      </c>
      <c r="O11" s="265"/>
      <c r="P11" s="265">
        <f>J11-L11-N11</f>
        <v>13410.143647674553</v>
      </c>
      <c r="Q11" s="265"/>
    </row>
    <row r="12" spans="2:17" x14ac:dyDescent="0.25">
      <c r="B12" s="254" t="s">
        <v>429</v>
      </c>
      <c r="C12" s="254"/>
      <c r="D12" s="254"/>
      <c r="E12" s="254"/>
      <c r="F12" s="256">
        <f>F6-F13</f>
        <v>13000</v>
      </c>
      <c r="G12" s="253"/>
      <c r="I12" s="258" t="s">
        <v>441</v>
      </c>
      <c r="J12" s="260">
        <f t="shared" si="1"/>
        <v>13482.558423371996</v>
      </c>
      <c r="K12" s="261"/>
      <c r="L12" s="264">
        <v>0</v>
      </c>
      <c r="M12" s="264"/>
      <c r="N12" s="264">
        <v>0</v>
      </c>
      <c r="O12" s="264"/>
      <c r="P12" s="264">
        <f t="shared" si="0"/>
        <v>13482.558423371996</v>
      </c>
      <c r="Q12" s="264"/>
    </row>
    <row r="13" spans="2:17" x14ac:dyDescent="0.25">
      <c r="B13" s="255" t="s">
        <v>428</v>
      </c>
      <c r="C13" s="255"/>
      <c r="D13" s="255"/>
      <c r="E13" s="255"/>
      <c r="F13" s="256">
        <f>(F6*(F7/2))</f>
        <v>0</v>
      </c>
      <c r="G13" s="253"/>
      <c r="I13" s="258" t="s">
        <v>442</v>
      </c>
      <c r="J13" s="260">
        <f t="shared" si="1"/>
        <v>13555.364238858205</v>
      </c>
      <c r="K13" s="261"/>
      <c r="L13" s="264">
        <v>0</v>
      </c>
      <c r="M13" s="264"/>
      <c r="N13" s="264">
        <v>0</v>
      </c>
      <c r="O13" s="264"/>
      <c r="P13" s="264">
        <f t="shared" si="0"/>
        <v>13555.364238858205</v>
      </c>
      <c r="Q13" s="264"/>
    </row>
    <row r="14" spans="2:17" x14ac:dyDescent="0.25">
      <c r="B14" s="255" t="s">
        <v>430</v>
      </c>
      <c r="C14" s="255"/>
      <c r="D14" s="255"/>
      <c r="E14" s="255"/>
      <c r="F14" s="256">
        <f>SUM(L6:M65)</f>
        <v>0</v>
      </c>
      <c r="G14" s="253"/>
      <c r="I14" s="258" t="s">
        <v>443</v>
      </c>
      <c r="J14" s="260">
        <f t="shared" si="1"/>
        <v>13628.56320574804</v>
      </c>
      <c r="K14" s="261"/>
      <c r="L14" s="264">
        <v>0</v>
      </c>
      <c r="M14" s="264"/>
      <c r="N14" s="264">
        <v>0</v>
      </c>
      <c r="O14" s="264"/>
      <c r="P14" s="264">
        <f t="shared" si="0"/>
        <v>13628.56320574804</v>
      </c>
      <c r="Q14" s="264"/>
    </row>
    <row r="15" spans="2:17" x14ac:dyDescent="0.25">
      <c r="B15" s="255" t="s">
        <v>431</v>
      </c>
      <c r="C15" s="255"/>
      <c r="D15" s="255"/>
      <c r="E15" s="255"/>
      <c r="F15" s="256">
        <f>SUM(N6:O65)</f>
        <v>193.78452614073186</v>
      </c>
      <c r="G15" s="253"/>
      <c r="I15" s="258" t="s">
        <v>444</v>
      </c>
      <c r="J15" s="260">
        <f t="shared" si="1"/>
        <v>13702.157447059079</v>
      </c>
      <c r="K15" s="261"/>
      <c r="L15" s="264">
        <v>0</v>
      </c>
      <c r="M15" s="264"/>
      <c r="N15" s="264">
        <v>0</v>
      </c>
      <c r="O15" s="264"/>
      <c r="P15" s="264">
        <f t="shared" si="0"/>
        <v>13702.157447059079</v>
      </c>
      <c r="Q15" s="264"/>
    </row>
    <row r="16" spans="2:17" x14ac:dyDescent="0.25">
      <c r="B16" s="255" t="s">
        <v>432</v>
      </c>
      <c r="C16" s="255"/>
      <c r="D16" s="255"/>
      <c r="E16" s="255"/>
      <c r="F16" s="256">
        <f>P65</f>
        <v>17735.528276760375</v>
      </c>
      <c r="G16" s="253"/>
      <c r="I16" s="258" t="s">
        <v>445</v>
      </c>
      <c r="J16" s="260">
        <f t="shared" si="1"/>
        <v>13776.149097273197</v>
      </c>
      <c r="K16" s="261"/>
      <c r="L16" s="264">
        <v>0</v>
      </c>
      <c r="M16" s="264"/>
      <c r="N16" s="264">
        <v>0</v>
      </c>
      <c r="O16" s="264"/>
      <c r="P16" s="264">
        <f t="shared" si="0"/>
        <v>13776.149097273197</v>
      </c>
      <c r="Q16" s="264"/>
    </row>
    <row r="17" spans="2:17" x14ac:dyDescent="0.25">
      <c r="B17" s="255" t="s">
        <v>500</v>
      </c>
      <c r="C17" s="255"/>
      <c r="D17" s="255"/>
      <c r="E17" s="255"/>
      <c r="F17" s="256">
        <f>F16-F12</f>
        <v>4735.5282767603749</v>
      </c>
      <c r="G17" s="253"/>
      <c r="I17" s="262" t="s">
        <v>446</v>
      </c>
      <c r="J17" s="266">
        <f t="shared" si="1"/>
        <v>13850.540302398473</v>
      </c>
      <c r="K17" s="263"/>
      <c r="L17" s="265">
        <f>J17*($F$7/2)</f>
        <v>0</v>
      </c>
      <c r="M17" s="265"/>
      <c r="N17" s="265">
        <f>J17*($F$8/2)</f>
        <v>17.313175377998093</v>
      </c>
      <c r="O17" s="265"/>
      <c r="P17" s="265">
        <f t="shared" si="0"/>
        <v>13833.227127020475</v>
      </c>
      <c r="Q17" s="265"/>
    </row>
    <row r="18" spans="2:17" x14ac:dyDescent="0.25">
      <c r="B18" s="255" t="s">
        <v>181</v>
      </c>
      <c r="C18" s="255"/>
      <c r="D18" s="255"/>
      <c r="E18" s="255"/>
      <c r="F18" s="257">
        <v>0.15</v>
      </c>
      <c r="G18" s="253"/>
      <c r="I18" s="258" t="s">
        <v>447</v>
      </c>
      <c r="J18" s="260">
        <f t="shared" si="1"/>
        <v>13907.926553506386</v>
      </c>
      <c r="K18" s="261"/>
      <c r="L18" s="264">
        <v>0</v>
      </c>
      <c r="M18" s="264"/>
      <c r="N18" s="264">
        <v>0</v>
      </c>
      <c r="O18" s="264"/>
      <c r="P18" s="264">
        <f t="shared" si="0"/>
        <v>13907.926553506386</v>
      </c>
      <c r="Q18" s="264"/>
    </row>
    <row r="19" spans="2:17" x14ac:dyDescent="0.25">
      <c r="B19" s="255" t="s">
        <v>433</v>
      </c>
      <c r="C19" s="255"/>
      <c r="D19" s="255"/>
      <c r="E19" s="255"/>
      <c r="F19" s="256">
        <f>F12+(F17*(1-F18))</f>
        <v>17025.199035246318</v>
      </c>
      <c r="G19" s="253"/>
      <c r="I19" s="258" t="s">
        <v>448</v>
      </c>
      <c r="J19" s="260">
        <f t="shared" si="1"/>
        <v>13983.02935689532</v>
      </c>
      <c r="K19" s="261"/>
      <c r="L19" s="264">
        <v>0</v>
      </c>
      <c r="M19" s="264"/>
      <c r="N19" s="264">
        <v>0</v>
      </c>
      <c r="O19" s="264"/>
      <c r="P19" s="264">
        <f t="shared" si="0"/>
        <v>13983.02935689532</v>
      </c>
      <c r="Q19" s="264"/>
    </row>
    <row r="20" spans="2:17" x14ac:dyDescent="0.25">
      <c r="I20" s="258" t="s">
        <v>449</v>
      </c>
      <c r="J20" s="260">
        <f t="shared" si="1"/>
        <v>14058.537715422555</v>
      </c>
      <c r="K20" s="261"/>
      <c r="L20" s="264">
        <v>0</v>
      </c>
      <c r="M20" s="264"/>
      <c r="N20" s="264">
        <v>0</v>
      </c>
      <c r="O20" s="264"/>
      <c r="P20" s="264">
        <f t="shared" si="0"/>
        <v>14058.537715422555</v>
      </c>
      <c r="Q20" s="264"/>
    </row>
    <row r="21" spans="2:17" x14ac:dyDescent="0.25">
      <c r="B21" s="267" t="s">
        <v>501</v>
      </c>
      <c r="C21" s="267"/>
      <c r="D21" s="267"/>
      <c r="E21" s="267"/>
      <c r="F21" s="267"/>
      <c r="G21" s="267"/>
      <c r="I21" s="258" t="s">
        <v>450</v>
      </c>
      <c r="J21" s="260">
        <f t="shared" si="1"/>
        <v>14134.453819085837</v>
      </c>
      <c r="K21" s="261"/>
      <c r="L21" s="264">
        <v>0</v>
      </c>
      <c r="M21" s="264"/>
      <c r="N21" s="264">
        <v>0</v>
      </c>
      <c r="O21" s="264"/>
      <c r="P21" s="264">
        <f t="shared" si="0"/>
        <v>14134.453819085837</v>
      </c>
      <c r="Q21" s="264"/>
    </row>
    <row r="22" spans="2:17" x14ac:dyDescent="0.25">
      <c r="I22" s="258" t="s">
        <v>451</v>
      </c>
      <c r="J22" s="260">
        <f t="shared" si="1"/>
        <v>14210.7798697089</v>
      </c>
      <c r="K22" s="261"/>
      <c r="L22" s="264">
        <v>0</v>
      </c>
      <c r="M22" s="264"/>
      <c r="N22" s="264">
        <v>0</v>
      </c>
      <c r="O22" s="264"/>
      <c r="P22" s="264">
        <f t="shared" si="0"/>
        <v>14210.7798697089</v>
      </c>
      <c r="Q22" s="264"/>
    </row>
    <row r="23" spans="2:17" x14ac:dyDescent="0.25">
      <c r="I23" s="262" t="s">
        <v>452</v>
      </c>
      <c r="J23" s="266">
        <f t="shared" si="1"/>
        <v>14287.518081005328</v>
      </c>
      <c r="K23" s="263"/>
      <c r="L23" s="265">
        <f>J23*($F$7/2)</f>
        <v>0</v>
      </c>
      <c r="M23" s="265"/>
      <c r="N23" s="265">
        <f>J23*($F$8/2)</f>
        <v>17.85939760125666</v>
      </c>
      <c r="O23" s="265"/>
      <c r="P23" s="265">
        <f t="shared" si="0"/>
        <v>14269.658683404072</v>
      </c>
      <c r="Q23" s="265"/>
    </row>
    <row r="24" spans="2:17" x14ac:dyDescent="0.25">
      <c r="I24" s="258" t="s">
        <v>453</v>
      </c>
      <c r="J24" s="260">
        <f t="shared" si="1"/>
        <v>14346.714840294453</v>
      </c>
      <c r="K24" s="261"/>
      <c r="L24" s="264">
        <v>0</v>
      </c>
      <c r="M24" s="264"/>
      <c r="N24" s="264">
        <v>0</v>
      </c>
      <c r="O24" s="264"/>
      <c r="P24" s="264">
        <f t="shared" si="0"/>
        <v>14346.714840294453</v>
      </c>
      <c r="Q24" s="264"/>
    </row>
    <row r="25" spans="2:17" x14ac:dyDescent="0.25">
      <c r="I25" s="258" t="s">
        <v>454</v>
      </c>
      <c r="J25" s="260">
        <f t="shared" si="1"/>
        <v>14424.187100432044</v>
      </c>
      <c r="K25" s="261"/>
      <c r="L25" s="264">
        <v>0</v>
      </c>
      <c r="M25" s="264"/>
      <c r="N25" s="264">
        <v>0</v>
      </c>
      <c r="O25" s="264"/>
      <c r="P25" s="264">
        <f t="shared" si="0"/>
        <v>14424.187100432044</v>
      </c>
      <c r="Q25" s="264"/>
    </row>
    <row r="26" spans="2:17" x14ac:dyDescent="0.25">
      <c r="I26" s="258" t="s">
        <v>455</v>
      </c>
      <c r="J26" s="260">
        <f t="shared" si="1"/>
        <v>14502.077710774376</v>
      </c>
      <c r="K26" s="261"/>
      <c r="L26" s="264">
        <v>0</v>
      </c>
      <c r="M26" s="264"/>
      <c r="N26" s="264">
        <v>0</v>
      </c>
      <c r="O26" s="264"/>
      <c r="P26" s="264">
        <f t="shared" si="0"/>
        <v>14502.077710774376</v>
      </c>
      <c r="Q26" s="264"/>
    </row>
    <row r="27" spans="2:17" x14ac:dyDescent="0.25">
      <c r="I27" s="258" t="s">
        <v>456</v>
      </c>
      <c r="J27" s="260">
        <f t="shared" si="1"/>
        <v>14580.388930412557</v>
      </c>
      <c r="K27" s="261"/>
      <c r="L27" s="264">
        <v>0</v>
      </c>
      <c r="M27" s="264"/>
      <c r="N27" s="264">
        <v>0</v>
      </c>
      <c r="O27" s="264"/>
      <c r="P27" s="264">
        <f t="shared" si="0"/>
        <v>14580.388930412557</v>
      </c>
      <c r="Q27" s="264"/>
    </row>
    <row r="28" spans="2:17" x14ac:dyDescent="0.25">
      <c r="I28" s="258" t="s">
        <v>457</v>
      </c>
      <c r="J28" s="260">
        <f t="shared" si="1"/>
        <v>14659.123030636785</v>
      </c>
      <c r="K28" s="261"/>
      <c r="L28" s="264">
        <v>0</v>
      </c>
      <c r="M28" s="264"/>
      <c r="N28" s="264">
        <v>0</v>
      </c>
      <c r="O28" s="264"/>
      <c r="P28" s="264">
        <f t="shared" si="0"/>
        <v>14659.123030636785</v>
      </c>
      <c r="Q28" s="264"/>
    </row>
    <row r="29" spans="2:17" x14ac:dyDescent="0.25">
      <c r="I29" s="262" t="s">
        <v>458</v>
      </c>
      <c r="J29" s="266">
        <f t="shared" si="1"/>
        <v>14738.282295002224</v>
      </c>
      <c r="K29" s="263"/>
      <c r="L29" s="265">
        <f>J29*($F$7/2)</f>
        <v>0</v>
      </c>
      <c r="M29" s="265"/>
      <c r="N29" s="265">
        <f>J29*($F$8/2)</f>
        <v>18.422852868752781</v>
      </c>
      <c r="O29" s="265"/>
      <c r="P29" s="265">
        <f t="shared" si="0"/>
        <v>14719.859442133471</v>
      </c>
      <c r="Q29" s="265"/>
    </row>
    <row r="30" spans="2:17" x14ac:dyDescent="0.25">
      <c r="I30" s="258" t="s">
        <v>459</v>
      </c>
      <c r="J30" s="260">
        <f t="shared" si="1"/>
        <v>14799.346683120992</v>
      </c>
      <c r="K30" s="261"/>
      <c r="L30" s="264">
        <v>0</v>
      </c>
      <c r="M30" s="264"/>
      <c r="N30" s="264">
        <v>0</v>
      </c>
      <c r="O30" s="264"/>
      <c r="P30" s="264">
        <f t="shared" si="0"/>
        <v>14799.346683120992</v>
      </c>
      <c r="Q30" s="264"/>
    </row>
    <row r="31" spans="2:17" x14ac:dyDescent="0.25">
      <c r="I31" s="258" t="s">
        <v>460</v>
      </c>
      <c r="J31" s="260">
        <f t="shared" si="1"/>
        <v>14879.263155209845</v>
      </c>
      <c r="K31" s="261"/>
      <c r="L31" s="264">
        <v>0</v>
      </c>
      <c r="M31" s="264"/>
      <c r="N31" s="264">
        <v>0</v>
      </c>
      <c r="O31" s="264"/>
      <c r="P31" s="264">
        <f t="shared" si="0"/>
        <v>14879.263155209845</v>
      </c>
      <c r="Q31" s="264"/>
    </row>
    <row r="32" spans="2:17" x14ac:dyDescent="0.25">
      <c r="I32" s="258" t="s">
        <v>461</v>
      </c>
      <c r="J32" s="260">
        <f t="shared" si="1"/>
        <v>14959.611176247978</v>
      </c>
      <c r="K32" s="261"/>
      <c r="L32" s="264">
        <v>0</v>
      </c>
      <c r="M32" s="264"/>
      <c r="N32" s="264">
        <v>0</v>
      </c>
      <c r="O32" s="264"/>
      <c r="P32" s="264">
        <f t="shared" si="0"/>
        <v>14959.611176247978</v>
      </c>
      <c r="Q32" s="264"/>
    </row>
    <row r="33" spans="9:17" x14ac:dyDescent="0.25">
      <c r="I33" s="258" t="s">
        <v>462</v>
      </c>
      <c r="J33" s="260">
        <f t="shared" si="1"/>
        <v>15040.393076599717</v>
      </c>
      <c r="K33" s="261"/>
      <c r="L33" s="264">
        <v>0</v>
      </c>
      <c r="M33" s="264"/>
      <c r="N33" s="264">
        <v>0</v>
      </c>
      <c r="O33" s="264"/>
      <c r="P33" s="264">
        <f t="shared" si="0"/>
        <v>15040.393076599717</v>
      </c>
      <c r="Q33" s="264"/>
    </row>
    <row r="34" spans="9:17" x14ac:dyDescent="0.25">
      <c r="I34" s="258" t="s">
        <v>463</v>
      </c>
      <c r="J34" s="260">
        <f t="shared" si="1"/>
        <v>15121.611199213356</v>
      </c>
      <c r="K34" s="261"/>
      <c r="L34" s="264">
        <v>0</v>
      </c>
      <c r="M34" s="264"/>
      <c r="N34" s="264">
        <v>0</v>
      </c>
      <c r="O34" s="264"/>
      <c r="P34" s="264">
        <f t="shared" si="0"/>
        <v>15121.611199213356</v>
      </c>
      <c r="Q34" s="264"/>
    </row>
    <row r="35" spans="9:17" x14ac:dyDescent="0.25">
      <c r="I35" s="262" t="s">
        <v>464</v>
      </c>
      <c r="J35" s="266">
        <f t="shared" si="1"/>
        <v>15203.267899689108</v>
      </c>
      <c r="K35" s="263"/>
      <c r="L35" s="265">
        <f>J35*($F$7/2)</f>
        <v>0</v>
      </c>
      <c r="M35" s="265"/>
      <c r="N35" s="265">
        <f>J35*($F$8/2)</f>
        <v>19.004084874611387</v>
      </c>
      <c r="O35" s="265"/>
      <c r="P35" s="265">
        <f t="shared" si="0"/>
        <v>15184.263814814496</v>
      </c>
      <c r="Q35" s="265"/>
    </row>
    <row r="36" spans="9:17" x14ac:dyDescent="0.25">
      <c r="I36" s="258" t="s">
        <v>465</v>
      </c>
      <c r="J36" s="260">
        <f t="shared" si="1"/>
        <v>15266.258839414495</v>
      </c>
      <c r="K36" s="261"/>
      <c r="L36" s="264">
        <v>0</v>
      </c>
      <c r="M36" s="264"/>
      <c r="N36" s="264">
        <v>0</v>
      </c>
      <c r="O36" s="264"/>
      <c r="P36" s="264">
        <f t="shared" si="0"/>
        <v>15266.258839414495</v>
      </c>
      <c r="Q36" s="264"/>
    </row>
    <row r="37" spans="9:17" x14ac:dyDescent="0.25">
      <c r="I37" s="258" t="s">
        <v>466</v>
      </c>
      <c r="J37" s="260">
        <f t="shared" si="1"/>
        <v>15348.696637147334</v>
      </c>
      <c r="K37" s="261"/>
      <c r="L37" s="264">
        <v>0</v>
      </c>
      <c r="M37" s="264"/>
      <c r="N37" s="264">
        <v>0</v>
      </c>
      <c r="O37" s="264"/>
      <c r="P37" s="264">
        <f t="shared" si="0"/>
        <v>15348.696637147334</v>
      </c>
      <c r="Q37" s="264"/>
    </row>
    <row r="38" spans="9:17" x14ac:dyDescent="0.25">
      <c r="I38" s="258" t="s">
        <v>467</v>
      </c>
      <c r="J38" s="260">
        <f t="shared" si="1"/>
        <v>15431.57959898793</v>
      </c>
      <c r="K38" s="261"/>
      <c r="L38" s="264">
        <v>0</v>
      </c>
      <c r="M38" s="264"/>
      <c r="N38" s="264">
        <v>0</v>
      </c>
      <c r="O38" s="264"/>
      <c r="P38" s="264">
        <f t="shared" si="0"/>
        <v>15431.57959898793</v>
      </c>
      <c r="Q38" s="264"/>
    </row>
    <row r="39" spans="9:17" x14ac:dyDescent="0.25">
      <c r="I39" s="258" t="s">
        <v>468</v>
      </c>
      <c r="J39" s="260">
        <f t="shared" si="1"/>
        <v>15514.910128822465</v>
      </c>
      <c r="K39" s="261"/>
      <c r="L39" s="264">
        <v>0</v>
      </c>
      <c r="M39" s="264"/>
      <c r="N39" s="264">
        <v>0</v>
      </c>
      <c r="O39" s="264"/>
      <c r="P39" s="264">
        <f t="shared" si="0"/>
        <v>15514.910128822465</v>
      </c>
      <c r="Q39" s="264"/>
    </row>
    <row r="40" spans="9:17" x14ac:dyDescent="0.25">
      <c r="I40" s="258" t="s">
        <v>469</v>
      </c>
      <c r="J40" s="260">
        <f t="shared" si="1"/>
        <v>15598.690643518106</v>
      </c>
      <c r="K40" s="261"/>
      <c r="L40" s="264">
        <v>0</v>
      </c>
      <c r="M40" s="264"/>
      <c r="N40" s="264">
        <v>0</v>
      </c>
      <c r="O40" s="264"/>
      <c r="P40" s="264">
        <f t="shared" si="0"/>
        <v>15598.690643518106</v>
      </c>
      <c r="Q40" s="264"/>
    </row>
    <row r="41" spans="9:17" x14ac:dyDescent="0.25">
      <c r="I41" s="262" t="s">
        <v>470</v>
      </c>
      <c r="J41" s="266">
        <f t="shared" si="1"/>
        <v>15682.923572993104</v>
      </c>
      <c r="K41" s="263"/>
      <c r="L41" s="265">
        <f>J41*($F$7/2)</f>
        <v>0</v>
      </c>
      <c r="M41" s="265"/>
      <c r="N41" s="265">
        <f>J41*($F$8/2)</f>
        <v>19.60365446624138</v>
      </c>
      <c r="O41" s="265"/>
      <c r="P41" s="265">
        <f t="shared" si="0"/>
        <v>15663.319918526862</v>
      </c>
      <c r="Q41" s="265"/>
    </row>
    <row r="42" spans="9:17" x14ac:dyDescent="0.25">
      <c r="I42" s="258" t="s">
        <v>471</v>
      </c>
      <c r="J42" s="260">
        <f t="shared" si="1"/>
        <v>15747.901846086907</v>
      </c>
      <c r="K42" s="261"/>
      <c r="L42" s="264">
        <v>0</v>
      </c>
      <c r="M42" s="264"/>
      <c r="N42" s="264">
        <v>0</v>
      </c>
      <c r="O42" s="264"/>
      <c r="P42" s="264">
        <f t="shared" si="0"/>
        <v>15747.901846086907</v>
      </c>
      <c r="Q42" s="264"/>
    </row>
    <row r="43" spans="9:17" x14ac:dyDescent="0.25">
      <c r="I43" s="258" t="s">
        <v>472</v>
      </c>
      <c r="J43" s="260">
        <f t="shared" si="1"/>
        <v>15832.940516055776</v>
      </c>
      <c r="K43" s="261"/>
      <c r="L43" s="264">
        <v>0</v>
      </c>
      <c r="M43" s="264"/>
      <c r="N43" s="264">
        <v>0</v>
      </c>
      <c r="O43" s="264"/>
      <c r="P43" s="264">
        <f t="shared" si="0"/>
        <v>15832.940516055776</v>
      </c>
      <c r="Q43" s="264"/>
    </row>
    <row r="44" spans="9:17" x14ac:dyDescent="0.25">
      <c r="I44" s="258" t="s">
        <v>473</v>
      </c>
      <c r="J44" s="260">
        <f t="shared" si="1"/>
        <v>15918.438394842477</v>
      </c>
      <c r="K44" s="261"/>
      <c r="L44" s="264">
        <v>0</v>
      </c>
      <c r="M44" s="264"/>
      <c r="N44" s="264">
        <v>0</v>
      </c>
      <c r="O44" s="264"/>
      <c r="P44" s="264">
        <f t="shared" si="0"/>
        <v>15918.438394842477</v>
      </c>
      <c r="Q44" s="264"/>
    </row>
    <row r="45" spans="9:17" x14ac:dyDescent="0.25">
      <c r="I45" s="258" t="s">
        <v>474</v>
      </c>
      <c r="J45" s="260">
        <f t="shared" si="1"/>
        <v>16004.397962174626</v>
      </c>
      <c r="K45" s="261"/>
      <c r="L45" s="264">
        <v>0</v>
      </c>
      <c r="M45" s="264"/>
      <c r="N45" s="264">
        <v>0</v>
      </c>
      <c r="O45" s="264"/>
      <c r="P45" s="264">
        <f t="shared" si="0"/>
        <v>16004.397962174626</v>
      </c>
      <c r="Q45" s="264"/>
    </row>
    <row r="46" spans="9:17" x14ac:dyDescent="0.25">
      <c r="I46" s="258" t="s">
        <v>475</v>
      </c>
      <c r="J46" s="260">
        <f t="shared" si="1"/>
        <v>16090.821711170369</v>
      </c>
      <c r="K46" s="261"/>
      <c r="L46" s="264">
        <v>0</v>
      </c>
      <c r="M46" s="264"/>
      <c r="N46" s="264">
        <v>0</v>
      </c>
      <c r="O46" s="264"/>
      <c r="P46" s="264">
        <f t="shared" si="0"/>
        <v>16090.821711170369</v>
      </c>
      <c r="Q46" s="264"/>
    </row>
    <row r="47" spans="9:17" x14ac:dyDescent="0.25">
      <c r="I47" s="262" t="s">
        <v>476</v>
      </c>
      <c r="J47" s="266">
        <f t="shared" si="1"/>
        <v>16177.712148410688</v>
      </c>
      <c r="K47" s="263"/>
      <c r="L47" s="265">
        <f>J47*($F$7/2)</f>
        <v>0</v>
      </c>
      <c r="M47" s="265"/>
      <c r="N47" s="265">
        <f>J47*($F$8/2)</f>
        <v>20.222140185513361</v>
      </c>
      <c r="O47" s="265"/>
      <c r="P47" s="265">
        <f t="shared" si="0"/>
        <v>16157.490008225175</v>
      </c>
      <c r="Q47" s="265"/>
    </row>
    <row r="48" spans="9:17" x14ac:dyDescent="0.25">
      <c r="I48" s="258" t="s">
        <v>477</v>
      </c>
      <c r="J48" s="260">
        <f t="shared" si="1"/>
        <v>16244.740454269591</v>
      </c>
      <c r="K48" s="261"/>
      <c r="L48" s="264">
        <v>0</v>
      </c>
      <c r="M48" s="264"/>
      <c r="N48" s="264">
        <v>0</v>
      </c>
      <c r="O48" s="264"/>
      <c r="P48" s="264">
        <f t="shared" si="0"/>
        <v>16244.740454269591</v>
      </c>
      <c r="Q48" s="264"/>
    </row>
    <row r="49" spans="9:17" x14ac:dyDescent="0.25">
      <c r="I49" s="258" t="s">
        <v>478</v>
      </c>
      <c r="J49" s="260">
        <f t="shared" si="1"/>
        <v>16332.462052722647</v>
      </c>
      <c r="K49" s="261"/>
      <c r="L49" s="264">
        <v>0</v>
      </c>
      <c r="M49" s="264"/>
      <c r="N49" s="264">
        <v>0</v>
      </c>
      <c r="O49" s="264"/>
      <c r="P49" s="264">
        <f t="shared" si="0"/>
        <v>16332.462052722647</v>
      </c>
      <c r="Q49" s="264"/>
    </row>
    <row r="50" spans="9:17" x14ac:dyDescent="0.25">
      <c r="I50" s="258" t="s">
        <v>479</v>
      </c>
      <c r="J50" s="260">
        <f t="shared" si="1"/>
        <v>16420.657347807348</v>
      </c>
      <c r="K50" s="261"/>
      <c r="L50" s="264">
        <v>0</v>
      </c>
      <c r="M50" s="264"/>
      <c r="N50" s="264">
        <v>0</v>
      </c>
      <c r="O50" s="264"/>
      <c r="P50" s="264">
        <f t="shared" si="0"/>
        <v>16420.657347807348</v>
      </c>
      <c r="Q50" s="264"/>
    </row>
    <row r="51" spans="9:17" x14ac:dyDescent="0.25">
      <c r="I51" s="258" t="s">
        <v>480</v>
      </c>
      <c r="J51" s="260">
        <f t="shared" si="1"/>
        <v>16509.328897485506</v>
      </c>
      <c r="K51" s="261"/>
      <c r="L51" s="264">
        <v>0</v>
      </c>
      <c r="M51" s="264"/>
      <c r="N51" s="264">
        <v>0</v>
      </c>
      <c r="O51" s="264"/>
      <c r="P51" s="264">
        <f t="shared" si="0"/>
        <v>16509.328897485506</v>
      </c>
      <c r="Q51" s="264"/>
    </row>
    <row r="52" spans="9:17" x14ac:dyDescent="0.25">
      <c r="I52" s="258" t="s">
        <v>481</v>
      </c>
      <c r="J52" s="260">
        <f t="shared" si="1"/>
        <v>16598.479273531928</v>
      </c>
      <c r="K52" s="261"/>
      <c r="L52" s="264">
        <v>0</v>
      </c>
      <c r="M52" s="264"/>
      <c r="N52" s="264">
        <v>0</v>
      </c>
      <c r="O52" s="264"/>
      <c r="P52" s="264">
        <f t="shared" si="0"/>
        <v>16598.479273531928</v>
      </c>
      <c r="Q52" s="264"/>
    </row>
    <row r="53" spans="9:17" x14ac:dyDescent="0.25">
      <c r="I53" s="262" t="s">
        <v>482</v>
      </c>
      <c r="J53" s="266">
        <f t="shared" si="1"/>
        <v>16688.111061609001</v>
      </c>
      <c r="K53" s="263"/>
      <c r="L53" s="265">
        <f>J53*($F$7/2)</f>
        <v>0</v>
      </c>
      <c r="M53" s="265"/>
      <c r="N53" s="265">
        <f>J53*($F$8/2)</f>
        <v>20.860138827011252</v>
      </c>
      <c r="O53" s="265"/>
      <c r="P53" s="265">
        <f t="shared" si="0"/>
        <v>16667.25092278199</v>
      </c>
      <c r="Q53" s="265"/>
    </row>
    <row r="54" spans="9:17" x14ac:dyDescent="0.25">
      <c r="I54" s="258" t="s">
        <v>483</v>
      </c>
      <c r="J54" s="260">
        <f t="shared" si="1"/>
        <v>16757.254077765014</v>
      </c>
      <c r="K54" s="261"/>
      <c r="L54" s="264">
        <v>0</v>
      </c>
      <c r="M54" s="264"/>
      <c r="N54" s="264">
        <v>0</v>
      </c>
      <c r="O54" s="264"/>
      <c r="P54" s="264">
        <f t="shared" si="0"/>
        <v>16757.254077765014</v>
      </c>
      <c r="Q54" s="264"/>
    </row>
    <row r="55" spans="9:17" x14ac:dyDescent="0.25">
      <c r="I55" s="258" t="s">
        <v>484</v>
      </c>
      <c r="J55" s="260">
        <f t="shared" si="1"/>
        <v>16847.743249784944</v>
      </c>
      <c r="K55" s="261"/>
      <c r="L55" s="264">
        <v>0</v>
      </c>
      <c r="M55" s="264"/>
      <c r="N55" s="264">
        <v>0</v>
      </c>
      <c r="O55" s="264"/>
      <c r="P55" s="264">
        <f t="shared" si="0"/>
        <v>16847.743249784944</v>
      </c>
      <c r="Q55" s="264"/>
    </row>
    <row r="56" spans="9:17" x14ac:dyDescent="0.25">
      <c r="I56" s="258" t="s">
        <v>485</v>
      </c>
      <c r="J56" s="260">
        <f t="shared" si="1"/>
        <v>16938.721063333782</v>
      </c>
      <c r="K56" s="261"/>
      <c r="L56" s="264">
        <v>0</v>
      </c>
      <c r="M56" s="264"/>
      <c r="N56" s="264">
        <v>0</v>
      </c>
      <c r="O56" s="264"/>
      <c r="P56" s="264">
        <f t="shared" si="0"/>
        <v>16938.721063333782</v>
      </c>
      <c r="Q56" s="264"/>
    </row>
    <row r="57" spans="9:17" x14ac:dyDescent="0.25">
      <c r="I57" s="258" t="s">
        <v>486</v>
      </c>
      <c r="J57" s="260">
        <f t="shared" si="1"/>
        <v>17030.190157075784</v>
      </c>
      <c r="K57" s="261"/>
      <c r="L57" s="264">
        <v>0</v>
      </c>
      <c r="M57" s="264"/>
      <c r="N57" s="264">
        <v>0</v>
      </c>
      <c r="O57" s="264"/>
      <c r="P57" s="264">
        <f t="shared" si="0"/>
        <v>17030.190157075784</v>
      </c>
      <c r="Q57" s="264"/>
    </row>
    <row r="58" spans="9:17" x14ac:dyDescent="0.25">
      <c r="I58" s="258" t="s">
        <v>487</v>
      </c>
      <c r="J58" s="260">
        <f t="shared" si="1"/>
        <v>17122.153183923994</v>
      </c>
      <c r="K58" s="261"/>
      <c r="L58" s="264">
        <v>0</v>
      </c>
      <c r="M58" s="264"/>
      <c r="N58" s="264">
        <v>0</v>
      </c>
      <c r="O58" s="264"/>
      <c r="P58" s="264">
        <f t="shared" si="0"/>
        <v>17122.153183923994</v>
      </c>
      <c r="Q58" s="264"/>
    </row>
    <row r="59" spans="9:17" x14ac:dyDescent="0.25">
      <c r="I59" s="262" t="s">
        <v>488</v>
      </c>
      <c r="J59" s="266">
        <f t="shared" si="1"/>
        <v>17214.612811117182</v>
      </c>
      <c r="K59" s="263"/>
      <c r="L59" s="265">
        <f>J59*($F$7/2)</f>
        <v>0</v>
      </c>
      <c r="M59" s="265"/>
      <c r="N59" s="265">
        <f>J59*($F$8/2)</f>
        <v>21.518266013896479</v>
      </c>
      <c r="O59" s="265"/>
      <c r="P59" s="265">
        <f t="shared" si="0"/>
        <v>17193.094545103286</v>
      </c>
      <c r="Q59" s="265"/>
    </row>
    <row r="60" spans="9:17" x14ac:dyDescent="0.25">
      <c r="I60" s="258" t="s">
        <v>489</v>
      </c>
      <c r="J60" s="260">
        <f t="shared" si="1"/>
        <v>17285.937255646844</v>
      </c>
      <c r="K60" s="261"/>
      <c r="L60" s="264">
        <v>0</v>
      </c>
      <c r="M60" s="264"/>
      <c r="N60" s="264">
        <v>0</v>
      </c>
      <c r="O60" s="264"/>
      <c r="P60" s="264">
        <f t="shared" si="0"/>
        <v>17285.937255646844</v>
      </c>
      <c r="Q60" s="264"/>
    </row>
    <row r="61" spans="9:17" x14ac:dyDescent="0.25">
      <c r="I61" s="258" t="s">
        <v>490</v>
      </c>
      <c r="J61" s="260">
        <f t="shared" si="1"/>
        <v>17379.281316827339</v>
      </c>
      <c r="K61" s="261"/>
      <c r="L61" s="264">
        <v>0</v>
      </c>
      <c r="M61" s="264"/>
      <c r="N61" s="264">
        <v>0</v>
      </c>
      <c r="O61" s="264"/>
      <c r="P61" s="264">
        <f t="shared" si="0"/>
        <v>17379.281316827339</v>
      </c>
      <c r="Q61" s="264"/>
    </row>
    <row r="62" spans="9:17" x14ac:dyDescent="0.25">
      <c r="I62" s="258" t="s">
        <v>491</v>
      </c>
      <c r="J62" s="260">
        <f t="shared" si="1"/>
        <v>17473.129435938208</v>
      </c>
      <c r="K62" s="261"/>
      <c r="L62" s="264">
        <v>0</v>
      </c>
      <c r="M62" s="264"/>
      <c r="N62" s="264">
        <v>0</v>
      </c>
      <c r="O62" s="264"/>
      <c r="P62" s="264">
        <f t="shared" si="0"/>
        <v>17473.129435938208</v>
      </c>
      <c r="Q62" s="264"/>
    </row>
    <row r="63" spans="9:17" x14ac:dyDescent="0.25">
      <c r="I63" s="258" t="s">
        <v>492</v>
      </c>
      <c r="J63" s="260">
        <f t="shared" si="1"/>
        <v>17567.484334892273</v>
      </c>
      <c r="K63" s="261"/>
      <c r="L63" s="264">
        <v>0</v>
      </c>
      <c r="M63" s="264"/>
      <c r="N63" s="264">
        <v>0</v>
      </c>
      <c r="O63" s="264"/>
      <c r="P63" s="264">
        <f t="shared" si="0"/>
        <v>17567.484334892273</v>
      </c>
      <c r="Q63" s="264"/>
    </row>
    <row r="64" spans="9:17" x14ac:dyDescent="0.25">
      <c r="I64" s="258" t="s">
        <v>493</v>
      </c>
      <c r="J64" s="260">
        <f t="shared" si="1"/>
        <v>17662.348750300691</v>
      </c>
      <c r="K64" s="261"/>
      <c r="L64" s="264">
        <v>0</v>
      </c>
      <c r="M64" s="264"/>
      <c r="N64" s="264">
        <v>0</v>
      </c>
      <c r="O64" s="264"/>
      <c r="P64" s="264">
        <f t="shared" si="0"/>
        <v>17662.348750300691</v>
      </c>
      <c r="Q64" s="264"/>
    </row>
    <row r="65" spans="9:17" x14ac:dyDescent="0.25">
      <c r="I65" s="262" t="s">
        <v>494</v>
      </c>
      <c r="J65" s="266">
        <f t="shared" si="1"/>
        <v>17757.725433552314</v>
      </c>
      <c r="K65" s="263"/>
      <c r="L65" s="265">
        <f>J65*($F$7/2)</f>
        <v>0</v>
      </c>
      <c r="M65" s="265"/>
      <c r="N65" s="265">
        <f>J65*($F$8/2)</f>
        <v>22.197156791940394</v>
      </c>
      <c r="O65" s="265"/>
      <c r="P65" s="265">
        <f t="shared" si="0"/>
        <v>17735.528276760375</v>
      </c>
      <c r="Q65" s="265"/>
    </row>
  </sheetData>
  <mergeCells count="272">
    <mergeCell ref="B21:G21"/>
    <mergeCell ref="L64:M64"/>
    <mergeCell ref="N64:O64"/>
    <mergeCell ref="P64:Q64"/>
    <mergeCell ref="L65:M65"/>
    <mergeCell ref="N65:O65"/>
    <mergeCell ref="P65:Q65"/>
    <mergeCell ref="L62:M62"/>
    <mergeCell ref="N62:O62"/>
    <mergeCell ref="P62:Q62"/>
    <mergeCell ref="L63:M63"/>
    <mergeCell ref="N63:O63"/>
    <mergeCell ref="P63:Q63"/>
    <mergeCell ref="L60:M60"/>
    <mergeCell ref="N60:O60"/>
    <mergeCell ref="P60:Q60"/>
    <mergeCell ref="L61:M61"/>
    <mergeCell ref="N61:O61"/>
    <mergeCell ref="P61:Q61"/>
    <mergeCell ref="L58:M58"/>
    <mergeCell ref="N58:O58"/>
    <mergeCell ref="P58:Q58"/>
    <mergeCell ref="L59:M59"/>
    <mergeCell ref="N59:O59"/>
    <mergeCell ref="P59:Q59"/>
    <mergeCell ref="L56:M56"/>
    <mergeCell ref="N56:O56"/>
    <mergeCell ref="P56:Q56"/>
    <mergeCell ref="L57:M57"/>
    <mergeCell ref="N57:O57"/>
    <mergeCell ref="P57:Q57"/>
    <mergeCell ref="L54:M54"/>
    <mergeCell ref="N54:O54"/>
    <mergeCell ref="P54:Q54"/>
    <mergeCell ref="L55:M55"/>
    <mergeCell ref="N55:O55"/>
    <mergeCell ref="P55:Q55"/>
    <mergeCell ref="L52:M52"/>
    <mergeCell ref="N52:O52"/>
    <mergeCell ref="P52:Q52"/>
    <mergeCell ref="L53:M53"/>
    <mergeCell ref="N53:O53"/>
    <mergeCell ref="P53:Q53"/>
    <mergeCell ref="L50:M50"/>
    <mergeCell ref="N50:O50"/>
    <mergeCell ref="P50:Q50"/>
    <mergeCell ref="L51:M51"/>
    <mergeCell ref="N51:O51"/>
    <mergeCell ref="P51:Q51"/>
    <mergeCell ref="L48:M48"/>
    <mergeCell ref="N48:O48"/>
    <mergeCell ref="P48:Q48"/>
    <mergeCell ref="L49:M49"/>
    <mergeCell ref="N49:O49"/>
    <mergeCell ref="P49:Q49"/>
    <mergeCell ref="L46:M46"/>
    <mergeCell ref="N46:O46"/>
    <mergeCell ref="P46:Q46"/>
    <mergeCell ref="L47:M47"/>
    <mergeCell ref="N47:O47"/>
    <mergeCell ref="P47:Q47"/>
    <mergeCell ref="L44:M44"/>
    <mergeCell ref="N44:O44"/>
    <mergeCell ref="P44:Q44"/>
    <mergeCell ref="L45:M45"/>
    <mergeCell ref="N45:O45"/>
    <mergeCell ref="P45:Q45"/>
    <mergeCell ref="L42:M42"/>
    <mergeCell ref="N42:O42"/>
    <mergeCell ref="P42:Q42"/>
    <mergeCell ref="L43:M43"/>
    <mergeCell ref="N43:O43"/>
    <mergeCell ref="P43:Q43"/>
    <mergeCell ref="L40:M40"/>
    <mergeCell ref="N40:O40"/>
    <mergeCell ref="P40:Q40"/>
    <mergeCell ref="L41:M41"/>
    <mergeCell ref="N41:O41"/>
    <mergeCell ref="P41:Q41"/>
    <mergeCell ref="L38:M38"/>
    <mergeCell ref="N38:O38"/>
    <mergeCell ref="P38:Q38"/>
    <mergeCell ref="L39:M39"/>
    <mergeCell ref="N39:O39"/>
    <mergeCell ref="P39:Q39"/>
    <mergeCell ref="L36:M36"/>
    <mergeCell ref="N36:O36"/>
    <mergeCell ref="P36:Q36"/>
    <mergeCell ref="L37:M37"/>
    <mergeCell ref="N37:O37"/>
    <mergeCell ref="P37:Q37"/>
    <mergeCell ref="L34:M34"/>
    <mergeCell ref="N34:O34"/>
    <mergeCell ref="P34:Q34"/>
    <mergeCell ref="L35:M35"/>
    <mergeCell ref="N35:O35"/>
    <mergeCell ref="P35:Q35"/>
    <mergeCell ref="L32:M32"/>
    <mergeCell ref="N32:O32"/>
    <mergeCell ref="P32:Q32"/>
    <mergeCell ref="L33:M33"/>
    <mergeCell ref="N33:O33"/>
    <mergeCell ref="P33:Q33"/>
    <mergeCell ref="L30:M30"/>
    <mergeCell ref="N30:O30"/>
    <mergeCell ref="P30:Q30"/>
    <mergeCell ref="L31:M31"/>
    <mergeCell ref="N31:O31"/>
    <mergeCell ref="P31:Q31"/>
    <mergeCell ref="L28:M28"/>
    <mergeCell ref="N28:O28"/>
    <mergeCell ref="P28:Q28"/>
    <mergeCell ref="L29:M29"/>
    <mergeCell ref="N29:O29"/>
    <mergeCell ref="P29:Q29"/>
    <mergeCell ref="L26:M26"/>
    <mergeCell ref="N26:O26"/>
    <mergeCell ref="P26:Q26"/>
    <mergeCell ref="L27:M27"/>
    <mergeCell ref="N27:O27"/>
    <mergeCell ref="P27:Q27"/>
    <mergeCell ref="L24:M24"/>
    <mergeCell ref="N24:O24"/>
    <mergeCell ref="P24:Q24"/>
    <mergeCell ref="L25:M25"/>
    <mergeCell ref="N25:O25"/>
    <mergeCell ref="P25:Q25"/>
    <mergeCell ref="L22:M22"/>
    <mergeCell ref="N22:O22"/>
    <mergeCell ref="P22:Q22"/>
    <mergeCell ref="L23:M23"/>
    <mergeCell ref="N23:O23"/>
    <mergeCell ref="P23:Q23"/>
    <mergeCell ref="L20:M20"/>
    <mergeCell ref="N20:O20"/>
    <mergeCell ref="P20:Q20"/>
    <mergeCell ref="L21:M21"/>
    <mergeCell ref="N21:O21"/>
    <mergeCell ref="P21:Q21"/>
    <mergeCell ref="L18:M18"/>
    <mergeCell ref="N18:O18"/>
    <mergeCell ref="P18:Q18"/>
    <mergeCell ref="L19:M19"/>
    <mergeCell ref="N19:O19"/>
    <mergeCell ref="P19:Q19"/>
    <mergeCell ref="L16:M16"/>
    <mergeCell ref="N16:O16"/>
    <mergeCell ref="P16:Q16"/>
    <mergeCell ref="L17:M17"/>
    <mergeCell ref="N17:O17"/>
    <mergeCell ref="P17:Q17"/>
    <mergeCell ref="L14:M14"/>
    <mergeCell ref="N14:O14"/>
    <mergeCell ref="P14:Q14"/>
    <mergeCell ref="L15:M15"/>
    <mergeCell ref="N15:O15"/>
    <mergeCell ref="P15:Q15"/>
    <mergeCell ref="L12:M12"/>
    <mergeCell ref="N12:O12"/>
    <mergeCell ref="P12:Q12"/>
    <mergeCell ref="L13:M13"/>
    <mergeCell ref="N13:O13"/>
    <mergeCell ref="P13:Q13"/>
    <mergeCell ref="L10:M10"/>
    <mergeCell ref="N10:O10"/>
    <mergeCell ref="P10:Q10"/>
    <mergeCell ref="L11:M11"/>
    <mergeCell ref="N11:O11"/>
    <mergeCell ref="P11:Q11"/>
    <mergeCell ref="L8:M8"/>
    <mergeCell ref="N8:O8"/>
    <mergeCell ref="P8:Q8"/>
    <mergeCell ref="L9:M9"/>
    <mergeCell ref="N9:O9"/>
    <mergeCell ref="P9:Q9"/>
    <mergeCell ref="L6:M6"/>
    <mergeCell ref="N6:O6"/>
    <mergeCell ref="P6:Q6"/>
    <mergeCell ref="L7:M7"/>
    <mergeCell ref="N7:O7"/>
    <mergeCell ref="P7:Q7"/>
    <mergeCell ref="L5:M5"/>
    <mergeCell ref="N5:O5"/>
    <mergeCell ref="P5:Q5"/>
    <mergeCell ref="J61:K61"/>
    <mergeCell ref="J62:K62"/>
    <mergeCell ref="J63:K63"/>
    <mergeCell ref="J64:K64"/>
    <mergeCell ref="J65:K65"/>
    <mergeCell ref="J56:K56"/>
    <mergeCell ref="J57:K57"/>
    <mergeCell ref="J58:K58"/>
    <mergeCell ref="J59:K59"/>
    <mergeCell ref="J60:K60"/>
    <mergeCell ref="J51:K51"/>
    <mergeCell ref="J52:K52"/>
    <mergeCell ref="J53:K53"/>
    <mergeCell ref="J54:K54"/>
    <mergeCell ref="J55:K55"/>
    <mergeCell ref="J46:K46"/>
    <mergeCell ref="J47:K47"/>
    <mergeCell ref="J48:K48"/>
    <mergeCell ref="J49:K49"/>
    <mergeCell ref="J50:K50"/>
    <mergeCell ref="J41:K41"/>
    <mergeCell ref="J42:K42"/>
    <mergeCell ref="J43:K43"/>
    <mergeCell ref="J44:K44"/>
    <mergeCell ref="J45:K45"/>
    <mergeCell ref="J36:K36"/>
    <mergeCell ref="J37:K37"/>
    <mergeCell ref="J38:K38"/>
    <mergeCell ref="J39:K39"/>
    <mergeCell ref="J40:K40"/>
    <mergeCell ref="J31:K31"/>
    <mergeCell ref="J32:K32"/>
    <mergeCell ref="J33:K33"/>
    <mergeCell ref="J34:K34"/>
    <mergeCell ref="J35:K35"/>
    <mergeCell ref="J26:K26"/>
    <mergeCell ref="J27:K27"/>
    <mergeCell ref="J28:K28"/>
    <mergeCell ref="J29:K29"/>
    <mergeCell ref="J30:K30"/>
    <mergeCell ref="J21:K21"/>
    <mergeCell ref="J22:K22"/>
    <mergeCell ref="J23:K23"/>
    <mergeCell ref="J24:K24"/>
    <mergeCell ref="J25:K25"/>
    <mergeCell ref="J16:K16"/>
    <mergeCell ref="J17:K17"/>
    <mergeCell ref="J18:K18"/>
    <mergeCell ref="J19:K19"/>
    <mergeCell ref="J20:K20"/>
    <mergeCell ref="F17:G17"/>
    <mergeCell ref="F18:G18"/>
    <mergeCell ref="F19:G19"/>
    <mergeCell ref="B2:Q2"/>
    <mergeCell ref="J5:K5"/>
    <mergeCell ref="J6:K6"/>
    <mergeCell ref="J7:K7"/>
    <mergeCell ref="J8:K8"/>
    <mergeCell ref="J9:K9"/>
    <mergeCell ref="J10:K10"/>
    <mergeCell ref="J11:K11"/>
    <mergeCell ref="J12:K12"/>
    <mergeCell ref="J13:K13"/>
    <mergeCell ref="J14:K14"/>
    <mergeCell ref="J15:K15"/>
    <mergeCell ref="F12:G12"/>
    <mergeCell ref="F13:G13"/>
    <mergeCell ref="F14:G14"/>
    <mergeCell ref="F15:G15"/>
    <mergeCell ref="F16:G16"/>
    <mergeCell ref="B5:G5"/>
    <mergeCell ref="B11:G11"/>
    <mergeCell ref="F6:G6"/>
    <mergeCell ref="F7:G7"/>
    <mergeCell ref="F8:G8"/>
    <mergeCell ref="F9:G9"/>
    <mergeCell ref="B19:E19"/>
    <mergeCell ref="B18:E18"/>
    <mergeCell ref="B17:E17"/>
    <mergeCell ref="B16:E16"/>
    <mergeCell ref="B15:E15"/>
    <mergeCell ref="B14:E14"/>
    <mergeCell ref="B13:E13"/>
    <mergeCell ref="B12:E12"/>
    <mergeCell ref="B8:E8"/>
    <mergeCell ref="B7:E7"/>
    <mergeCell ref="B6:E6"/>
    <mergeCell ref="B9:E9"/>
  </mergeCells>
  <dataValidations count="1">
    <dataValidation type="list" allowBlank="1" showInputMessage="1" showErrorMessage="1" sqref="F18:G18" xr:uid="{CD6ADB7C-70F4-41A4-A9B9-5791107711DA}">
      <mc:AlternateContent xmlns:x12ac="http://schemas.microsoft.com/office/spreadsheetml/2011/1/ac" xmlns:mc="http://schemas.openxmlformats.org/markup-compatibility/2006">
        <mc:Choice Requires="x12ac">
          <x12ac:list>"22,50%"," 20,00%"," 17,5%"," 15,00%"</x12ac:list>
        </mc:Choice>
        <mc:Fallback>
          <formula1>"22,50%, 20,00%, 17,5%, 15,00%"</formula1>
        </mc:Fallback>
      </mc:AlternateContent>
    </dataValidation>
  </dataValidations>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2F309-EA49-472D-82A7-57FCE9F07CE9}">
  <sheetPr>
    <tabColor theme="4" tint="-0.499984740745262"/>
  </sheetPr>
  <dimension ref="E2:O15"/>
  <sheetViews>
    <sheetView workbookViewId="0">
      <selection activeCell="E2" sqref="E2:O2"/>
    </sheetView>
  </sheetViews>
  <sheetFormatPr defaultRowHeight="15" x14ac:dyDescent="0.25"/>
  <cols>
    <col min="1" max="4" width="10.7109375" style="1" customWidth="1"/>
    <col min="5" max="16384" width="9.140625" style="1"/>
  </cols>
  <sheetData>
    <row r="2" spans="5:15" ht="32.25" x14ac:dyDescent="0.25">
      <c r="E2" s="70" t="s">
        <v>13</v>
      </c>
      <c r="F2" s="70"/>
      <c r="G2" s="70"/>
      <c r="H2" s="70"/>
      <c r="I2" s="70"/>
      <c r="J2" s="70"/>
      <c r="K2" s="70"/>
      <c r="L2" s="70"/>
      <c r="M2" s="70"/>
      <c r="N2" s="70"/>
      <c r="O2" s="70"/>
    </row>
    <row r="5" spans="5:15" s="2" customFormat="1" ht="15.75" x14ac:dyDescent="0.25">
      <c r="H5" s="71" t="s">
        <v>63</v>
      </c>
      <c r="I5" s="71"/>
      <c r="J5" s="71"/>
      <c r="K5" s="71"/>
      <c r="L5" s="71"/>
    </row>
    <row r="6" spans="5:15" s="2" customFormat="1" ht="15.75" x14ac:dyDescent="0.25"/>
    <row r="7" spans="5:15" s="2" customFormat="1" ht="15.75" x14ac:dyDescent="0.25">
      <c r="H7" s="63" t="s">
        <v>64</v>
      </c>
      <c r="I7" s="63"/>
      <c r="J7" s="63"/>
      <c r="K7" s="63"/>
      <c r="L7" s="63"/>
    </row>
    <row r="8" spans="5:15" x14ac:dyDescent="0.25">
      <c r="H8" s="150">
        <v>43553</v>
      </c>
      <c r="I8" s="61"/>
      <c r="J8" s="61"/>
      <c r="K8" s="61"/>
      <c r="L8" s="61"/>
    </row>
    <row r="10" spans="5:15" ht="15.75" x14ac:dyDescent="0.25">
      <c r="H10" s="63" t="s">
        <v>64</v>
      </c>
      <c r="I10" s="63"/>
      <c r="J10" s="63"/>
      <c r="K10" s="63"/>
      <c r="L10" s="63"/>
    </row>
    <row r="11" spans="5:15" x14ac:dyDescent="0.25">
      <c r="H11" s="150">
        <v>43738</v>
      </c>
      <c r="I11" s="61"/>
      <c r="J11" s="61"/>
      <c r="K11" s="61"/>
      <c r="L11" s="61"/>
    </row>
    <row r="14" spans="5:15" ht="15.75" x14ac:dyDescent="0.25">
      <c r="H14" s="63" t="s">
        <v>65</v>
      </c>
      <c r="I14" s="63"/>
      <c r="J14" s="63"/>
      <c r="K14" s="63"/>
      <c r="L14" s="63"/>
    </row>
    <row r="15" spans="5:15" ht="15.75" x14ac:dyDescent="0.25">
      <c r="H15" s="149">
        <f>H11-H8</f>
        <v>185</v>
      </c>
      <c r="I15" s="149"/>
      <c r="J15" s="149"/>
      <c r="K15" s="149"/>
      <c r="L15" s="149"/>
    </row>
  </sheetData>
  <mergeCells count="8">
    <mergeCell ref="H15:L15"/>
    <mergeCell ref="E2:O2"/>
    <mergeCell ref="H5:L5"/>
    <mergeCell ref="H7:L7"/>
    <mergeCell ref="H8:L8"/>
    <mergeCell ref="H10:L10"/>
    <mergeCell ref="H11:L11"/>
    <mergeCell ref="H14:L14"/>
  </mergeCells>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F72E7-81D5-4F02-89C4-D6455D1DB6A5}">
  <sheetPr>
    <tabColor theme="4" tint="-0.249977111117893"/>
  </sheetPr>
  <dimension ref="D2:P25"/>
  <sheetViews>
    <sheetView workbookViewId="0">
      <selection activeCell="D2" sqref="D2:P2"/>
    </sheetView>
  </sheetViews>
  <sheetFormatPr defaultRowHeight="15" x14ac:dyDescent="0.25"/>
  <cols>
    <col min="1" max="4" width="10.7109375" style="1" customWidth="1"/>
    <col min="5" max="15" width="9.140625" style="1"/>
    <col min="16" max="16" width="10.7109375" style="1" customWidth="1"/>
    <col min="17" max="16384" width="9.140625" style="1"/>
  </cols>
  <sheetData>
    <row r="2" spans="4:16" ht="32.25" x14ac:dyDescent="0.25">
      <c r="D2" s="70" t="s">
        <v>14</v>
      </c>
      <c r="E2" s="70"/>
      <c r="F2" s="70"/>
      <c r="G2" s="70"/>
      <c r="H2" s="70"/>
      <c r="I2" s="70"/>
      <c r="J2" s="70"/>
      <c r="K2" s="70"/>
      <c r="L2" s="70"/>
      <c r="M2" s="70"/>
      <c r="N2" s="70"/>
      <c r="O2" s="70"/>
      <c r="P2" s="70"/>
    </row>
    <row r="5" spans="4:16" ht="15.75" x14ac:dyDescent="0.25">
      <c r="D5" s="50" t="s">
        <v>215</v>
      </c>
      <c r="E5" s="160">
        <v>350000</v>
      </c>
      <c r="F5" s="160"/>
      <c r="G5" s="160"/>
      <c r="H5" s="18"/>
      <c r="I5" s="18"/>
      <c r="J5" s="18"/>
      <c r="K5" s="18"/>
      <c r="L5" s="18"/>
      <c r="M5" s="18"/>
      <c r="N5" s="18"/>
      <c r="O5" s="18"/>
      <c r="P5" s="18"/>
    </row>
    <row r="6" spans="4:16" x14ac:dyDescent="0.25">
      <c r="D6" s="18"/>
      <c r="E6" s="18"/>
      <c r="F6" s="18"/>
      <c r="G6" s="18"/>
      <c r="H6" s="18"/>
      <c r="I6" s="18"/>
      <c r="J6" s="18"/>
      <c r="K6" s="18"/>
      <c r="L6" s="18"/>
      <c r="M6" s="18"/>
      <c r="N6" s="18"/>
      <c r="O6" s="18"/>
      <c r="P6" s="18"/>
    </row>
    <row r="7" spans="4:16" ht="15.75" x14ac:dyDescent="0.25">
      <c r="D7" s="131" t="s">
        <v>216</v>
      </c>
      <c r="E7" s="131"/>
      <c r="F7" s="131"/>
      <c r="G7" s="54"/>
      <c r="H7" s="131" t="s">
        <v>218</v>
      </c>
      <c r="I7" s="131"/>
      <c r="J7" s="131"/>
      <c r="K7" s="131"/>
      <c r="L7" s="131"/>
      <c r="M7" s="54"/>
      <c r="N7" s="131" t="s">
        <v>221</v>
      </c>
      <c r="O7" s="131"/>
      <c r="P7" s="131"/>
    </row>
    <row r="8" spans="4:16" ht="15.75" x14ac:dyDescent="0.25">
      <c r="D8" s="27" t="s">
        <v>169</v>
      </c>
      <c r="E8" s="161" t="s">
        <v>217</v>
      </c>
      <c r="F8" s="161"/>
      <c r="G8" s="54"/>
      <c r="H8" s="162"/>
      <c r="I8" s="162"/>
      <c r="J8" s="162"/>
      <c r="K8" s="162"/>
      <c r="L8" s="162"/>
      <c r="M8" s="54"/>
      <c r="N8" s="163" t="s">
        <v>217</v>
      </c>
      <c r="O8" s="164"/>
      <c r="P8" s="27" t="s">
        <v>169</v>
      </c>
    </row>
    <row r="9" spans="4:16" x14ac:dyDescent="0.25">
      <c r="D9" s="18"/>
      <c r="E9" s="18"/>
      <c r="F9" s="18"/>
      <c r="G9" s="18"/>
      <c r="H9" s="18"/>
      <c r="I9" s="18"/>
      <c r="J9" s="18"/>
      <c r="K9" s="18"/>
      <c r="L9" s="18"/>
      <c r="M9" s="18"/>
      <c r="N9" s="18"/>
      <c r="O9" s="18"/>
      <c r="P9" s="18"/>
    </row>
    <row r="10" spans="4:16" ht="15.75" x14ac:dyDescent="0.25">
      <c r="D10" s="48">
        <v>0.5</v>
      </c>
      <c r="E10" s="156">
        <f>$E$5*D10</f>
        <v>175000</v>
      </c>
      <c r="F10" s="156"/>
      <c r="G10" s="18"/>
      <c r="H10" s="159" t="s">
        <v>219</v>
      </c>
      <c r="I10" s="159"/>
      <c r="J10" s="159"/>
      <c r="K10" s="159"/>
      <c r="L10" s="159"/>
      <c r="M10" s="18"/>
      <c r="N10" s="157">
        <v>200000</v>
      </c>
      <c r="O10" s="158"/>
      <c r="P10" s="55">
        <f>N10/$E$5</f>
        <v>0.5714285714285714</v>
      </c>
    </row>
    <row r="11" spans="4:16" ht="15.75" x14ac:dyDescent="0.25">
      <c r="D11" s="48">
        <v>0.5</v>
      </c>
      <c r="E11" s="156">
        <f t="shared" ref="E11:E19" si="0">$E$5*D11</f>
        <v>175000</v>
      </c>
      <c r="F11" s="156"/>
      <c r="G11" s="18"/>
      <c r="H11" s="159" t="s">
        <v>220</v>
      </c>
      <c r="I11" s="159"/>
      <c r="J11" s="159"/>
      <c r="K11" s="159"/>
      <c r="L11" s="159"/>
      <c r="M11" s="18"/>
      <c r="N11" s="157">
        <v>150000</v>
      </c>
      <c r="O11" s="158"/>
      <c r="P11" s="55">
        <f t="shared" ref="P11:P19" si="1">N11/$E$5</f>
        <v>0.42857142857142855</v>
      </c>
    </row>
    <row r="12" spans="4:16" ht="15.75" x14ac:dyDescent="0.25">
      <c r="D12" s="48"/>
      <c r="E12" s="156">
        <f t="shared" si="0"/>
        <v>0</v>
      </c>
      <c r="F12" s="156"/>
      <c r="G12" s="18"/>
      <c r="H12" s="159"/>
      <c r="I12" s="159"/>
      <c r="J12" s="159"/>
      <c r="K12" s="159"/>
      <c r="L12" s="159"/>
      <c r="M12" s="18"/>
      <c r="N12" s="157"/>
      <c r="O12" s="158"/>
      <c r="P12" s="55">
        <f t="shared" si="1"/>
        <v>0</v>
      </c>
    </row>
    <row r="13" spans="4:16" ht="15.75" x14ac:dyDescent="0.25">
      <c r="D13" s="48"/>
      <c r="E13" s="156">
        <f t="shared" si="0"/>
        <v>0</v>
      </c>
      <c r="F13" s="156"/>
      <c r="G13" s="18"/>
      <c r="H13" s="159"/>
      <c r="I13" s="159"/>
      <c r="J13" s="159"/>
      <c r="K13" s="159"/>
      <c r="L13" s="159"/>
      <c r="M13" s="18"/>
      <c r="N13" s="157"/>
      <c r="O13" s="158"/>
      <c r="P13" s="55">
        <f t="shared" si="1"/>
        <v>0</v>
      </c>
    </row>
    <row r="14" spans="4:16" ht="15.75" x14ac:dyDescent="0.25">
      <c r="D14" s="48"/>
      <c r="E14" s="156">
        <f t="shared" si="0"/>
        <v>0</v>
      </c>
      <c r="F14" s="156"/>
      <c r="G14" s="18"/>
      <c r="H14" s="159"/>
      <c r="I14" s="159"/>
      <c r="J14" s="159"/>
      <c r="K14" s="159"/>
      <c r="L14" s="159"/>
      <c r="M14" s="18"/>
      <c r="N14" s="157"/>
      <c r="O14" s="158"/>
      <c r="P14" s="55">
        <f t="shared" si="1"/>
        <v>0</v>
      </c>
    </row>
    <row r="15" spans="4:16" ht="15.75" x14ac:dyDescent="0.25">
      <c r="D15" s="48"/>
      <c r="E15" s="156">
        <f t="shared" si="0"/>
        <v>0</v>
      </c>
      <c r="F15" s="156"/>
      <c r="G15" s="18"/>
      <c r="H15" s="159"/>
      <c r="I15" s="159"/>
      <c r="J15" s="159"/>
      <c r="K15" s="159"/>
      <c r="L15" s="159"/>
      <c r="M15" s="18"/>
      <c r="N15" s="157"/>
      <c r="O15" s="158"/>
      <c r="P15" s="55">
        <f t="shared" si="1"/>
        <v>0</v>
      </c>
    </row>
    <row r="16" spans="4:16" ht="15.75" x14ac:dyDescent="0.25">
      <c r="D16" s="48"/>
      <c r="E16" s="156">
        <f t="shared" si="0"/>
        <v>0</v>
      </c>
      <c r="F16" s="156"/>
      <c r="G16" s="18"/>
      <c r="H16" s="159"/>
      <c r="I16" s="159"/>
      <c r="J16" s="159"/>
      <c r="K16" s="159"/>
      <c r="L16" s="159"/>
      <c r="M16" s="18"/>
      <c r="N16" s="157"/>
      <c r="O16" s="158"/>
      <c r="P16" s="55">
        <f t="shared" si="1"/>
        <v>0</v>
      </c>
    </row>
    <row r="17" spans="4:16" ht="15.75" x14ac:dyDescent="0.25">
      <c r="D17" s="48"/>
      <c r="E17" s="156">
        <f t="shared" si="0"/>
        <v>0</v>
      </c>
      <c r="F17" s="156"/>
      <c r="G17" s="18"/>
      <c r="H17" s="159"/>
      <c r="I17" s="159"/>
      <c r="J17" s="159"/>
      <c r="K17" s="159"/>
      <c r="L17" s="159"/>
      <c r="M17" s="18"/>
      <c r="N17" s="157"/>
      <c r="O17" s="158"/>
      <c r="P17" s="55">
        <f t="shared" si="1"/>
        <v>0</v>
      </c>
    </row>
    <row r="18" spans="4:16" ht="15.75" x14ac:dyDescent="0.25">
      <c r="D18" s="48"/>
      <c r="E18" s="156">
        <f t="shared" si="0"/>
        <v>0</v>
      </c>
      <c r="F18" s="156"/>
      <c r="G18" s="18"/>
      <c r="H18" s="159"/>
      <c r="I18" s="159"/>
      <c r="J18" s="159"/>
      <c r="K18" s="159"/>
      <c r="L18" s="159"/>
      <c r="M18" s="18"/>
      <c r="N18" s="157"/>
      <c r="O18" s="158"/>
      <c r="P18" s="55">
        <f t="shared" si="1"/>
        <v>0</v>
      </c>
    </row>
    <row r="19" spans="4:16" ht="15.75" x14ac:dyDescent="0.25">
      <c r="D19" s="48"/>
      <c r="E19" s="156">
        <f t="shared" si="0"/>
        <v>0</v>
      </c>
      <c r="F19" s="156"/>
      <c r="G19" s="18"/>
      <c r="H19" s="159"/>
      <c r="I19" s="159"/>
      <c r="J19" s="159"/>
      <c r="K19" s="159"/>
      <c r="L19" s="159"/>
      <c r="M19" s="18"/>
      <c r="N19" s="157"/>
      <c r="O19" s="158"/>
      <c r="P19" s="55">
        <f t="shared" si="1"/>
        <v>0</v>
      </c>
    </row>
    <row r="21" spans="4:16" ht="15.75" x14ac:dyDescent="0.25">
      <c r="D21" s="28">
        <f>SUM(D10:D19)</f>
        <v>1</v>
      </c>
      <c r="E21" s="151">
        <f>SUM(E10:F19)</f>
        <v>350000</v>
      </c>
      <c r="F21" s="152"/>
      <c r="N21" s="151">
        <f>SUM(N10:O19)</f>
        <v>350000</v>
      </c>
      <c r="O21" s="152"/>
      <c r="P21" s="28">
        <f>SUM(P10:P19)</f>
        <v>1</v>
      </c>
    </row>
    <row r="23" spans="4:16" x14ac:dyDescent="0.25">
      <c r="D23" s="153" t="s">
        <v>222</v>
      </c>
      <c r="E23" s="153"/>
      <c r="F23" s="153"/>
      <c r="N23" s="153" t="s">
        <v>222</v>
      </c>
      <c r="O23" s="153"/>
      <c r="P23" s="153"/>
    </row>
    <row r="25" spans="4:16" ht="15.75" x14ac:dyDescent="0.25">
      <c r="D25" s="29">
        <f>1-D21</f>
        <v>0</v>
      </c>
      <c r="E25" s="154">
        <f>E5-E21</f>
        <v>0</v>
      </c>
      <c r="F25" s="109"/>
      <c r="N25" s="155">
        <f>E5-N21</f>
        <v>0</v>
      </c>
      <c r="O25" s="107"/>
      <c r="P25" s="30">
        <f>1-P21</f>
        <v>0</v>
      </c>
    </row>
  </sheetData>
  <mergeCells count="44">
    <mergeCell ref="D2:P2"/>
    <mergeCell ref="E5:G5"/>
    <mergeCell ref="E8:F8"/>
    <mergeCell ref="D7:F7"/>
    <mergeCell ref="H7:L7"/>
    <mergeCell ref="H8:L8"/>
    <mergeCell ref="N7:P7"/>
    <mergeCell ref="N8:O8"/>
    <mergeCell ref="H16:L16"/>
    <mergeCell ref="H17:L17"/>
    <mergeCell ref="H18:L18"/>
    <mergeCell ref="H19:L19"/>
    <mergeCell ref="H10:L10"/>
    <mergeCell ref="H11:L11"/>
    <mergeCell ref="H12:L12"/>
    <mergeCell ref="H13:L13"/>
    <mergeCell ref="H14:L14"/>
    <mergeCell ref="H15:L15"/>
    <mergeCell ref="N11:O11"/>
    <mergeCell ref="N10:O10"/>
    <mergeCell ref="N19:O19"/>
    <mergeCell ref="N18:O18"/>
    <mergeCell ref="N17:O17"/>
    <mergeCell ref="N16:O16"/>
    <mergeCell ref="E15:F15"/>
    <mergeCell ref="N15:O15"/>
    <mergeCell ref="N14:O14"/>
    <mergeCell ref="N13:O13"/>
    <mergeCell ref="N12:O12"/>
    <mergeCell ref="E10:F10"/>
    <mergeCell ref="E11:F11"/>
    <mergeCell ref="E12:F12"/>
    <mergeCell ref="E13:F13"/>
    <mergeCell ref="E14:F14"/>
    <mergeCell ref="E16:F16"/>
    <mergeCell ref="E17:F17"/>
    <mergeCell ref="E18:F18"/>
    <mergeCell ref="E19:F19"/>
    <mergeCell ref="E21:F21"/>
    <mergeCell ref="N21:O21"/>
    <mergeCell ref="D23:F23"/>
    <mergeCell ref="N23:P23"/>
    <mergeCell ref="E25:F25"/>
    <mergeCell ref="N25:O25"/>
  </mergeCells>
  <pageMargins left="0.511811024" right="0.511811024" top="0.78740157499999996" bottom="0.78740157499999996" header="0.31496062000000002" footer="0.3149606200000000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CE009-9970-4F31-A3B2-7F4538D6E976}">
  <sheetPr>
    <tabColor theme="4" tint="-0.499984740745262"/>
  </sheetPr>
  <dimension ref="E2:O16"/>
  <sheetViews>
    <sheetView workbookViewId="0">
      <selection activeCell="E2" sqref="E2:O2"/>
    </sheetView>
  </sheetViews>
  <sheetFormatPr defaultRowHeight="15" x14ac:dyDescent="0.25"/>
  <cols>
    <col min="1" max="4" width="10.7109375" style="1" customWidth="1"/>
    <col min="5" max="16384" width="9.140625" style="1"/>
  </cols>
  <sheetData>
    <row r="2" spans="5:15" ht="32.25" x14ac:dyDescent="0.25">
      <c r="E2" s="70" t="s">
        <v>15</v>
      </c>
      <c r="F2" s="70"/>
      <c r="G2" s="70"/>
      <c r="H2" s="70"/>
      <c r="I2" s="70"/>
      <c r="J2" s="70"/>
      <c r="K2" s="70"/>
      <c r="L2" s="70"/>
      <c r="M2" s="70"/>
      <c r="N2" s="70"/>
      <c r="O2" s="70"/>
    </row>
    <row r="5" spans="5:15" ht="19.5" x14ac:dyDescent="0.25">
      <c r="E5" s="84" t="s">
        <v>66</v>
      </c>
      <c r="F5" s="84"/>
      <c r="G5" s="84"/>
      <c r="H5" s="84"/>
      <c r="I5" s="84"/>
      <c r="K5" s="84" t="s">
        <v>644</v>
      </c>
      <c r="L5" s="84"/>
      <c r="M5" s="84"/>
      <c r="N5" s="84"/>
      <c r="O5" s="84"/>
    </row>
    <row r="6" spans="5:15" ht="15.75" x14ac:dyDescent="0.25">
      <c r="E6" s="165" t="s">
        <v>75</v>
      </c>
      <c r="F6" s="165"/>
      <c r="G6" s="165"/>
      <c r="H6" s="165"/>
      <c r="I6" s="165"/>
      <c r="J6" s="2"/>
      <c r="K6" s="165" t="s">
        <v>79</v>
      </c>
      <c r="L6" s="165"/>
      <c r="M6" s="165"/>
      <c r="N6" s="165"/>
      <c r="O6" s="165"/>
    </row>
    <row r="7" spans="5:15" ht="15.75" x14ac:dyDescent="0.25">
      <c r="E7" s="165" t="s">
        <v>67</v>
      </c>
      <c r="F7" s="165"/>
      <c r="G7" s="165"/>
      <c r="H7" s="165"/>
      <c r="I7" s="165"/>
      <c r="J7" s="2"/>
      <c r="K7" s="165" t="s">
        <v>84</v>
      </c>
      <c r="L7" s="165"/>
      <c r="M7" s="165"/>
      <c r="N7" s="165"/>
      <c r="O7" s="165"/>
    </row>
    <row r="8" spans="5:15" ht="15.75" x14ac:dyDescent="0.25">
      <c r="E8" s="165" t="s">
        <v>76</v>
      </c>
      <c r="F8" s="165"/>
      <c r="G8" s="165"/>
      <c r="H8" s="165"/>
      <c r="I8" s="165"/>
      <c r="J8" s="2"/>
      <c r="K8" s="165" t="s">
        <v>81</v>
      </c>
      <c r="L8" s="165"/>
      <c r="M8" s="165"/>
      <c r="N8" s="165"/>
      <c r="O8" s="165"/>
    </row>
    <row r="9" spans="5:15" ht="15.75" x14ac:dyDescent="0.25">
      <c r="E9" s="165" t="s">
        <v>86</v>
      </c>
      <c r="F9" s="165"/>
      <c r="G9" s="165"/>
      <c r="H9" s="165"/>
      <c r="I9" s="165"/>
      <c r="J9" s="2"/>
      <c r="K9" s="165" t="s">
        <v>80</v>
      </c>
      <c r="L9" s="165"/>
      <c r="M9" s="165"/>
      <c r="N9" s="165"/>
      <c r="O9" s="165"/>
    </row>
    <row r="10" spans="5:15" ht="15.75" x14ac:dyDescent="0.25">
      <c r="E10" s="165" t="s">
        <v>74</v>
      </c>
      <c r="F10" s="165"/>
      <c r="G10" s="165"/>
      <c r="H10" s="165"/>
      <c r="I10" s="165"/>
      <c r="J10" s="2"/>
      <c r="K10" s="165" t="s">
        <v>82</v>
      </c>
      <c r="L10" s="165"/>
      <c r="M10" s="165"/>
      <c r="N10" s="165"/>
      <c r="O10" s="165"/>
    </row>
    <row r="11" spans="5:15" ht="15.75" x14ac:dyDescent="0.25">
      <c r="E11" s="165" t="s">
        <v>70</v>
      </c>
      <c r="F11" s="165"/>
      <c r="G11" s="165"/>
      <c r="H11" s="165"/>
      <c r="I11" s="165"/>
      <c r="J11" s="2"/>
      <c r="K11" s="165" t="s">
        <v>87</v>
      </c>
      <c r="L11" s="165"/>
      <c r="M11" s="165"/>
      <c r="N11" s="165"/>
      <c r="O11" s="165"/>
    </row>
    <row r="12" spans="5:15" ht="15.75" x14ac:dyDescent="0.25">
      <c r="E12" s="165" t="s">
        <v>69</v>
      </c>
      <c r="F12" s="165"/>
      <c r="G12" s="165"/>
      <c r="H12" s="165"/>
      <c r="I12" s="165"/>
      <c r="J12" s="2"/>
      <c r="K12" s="165" t="s">
        <v>88</v>
      </c>
      <c r="L12" s="165"/>
      <c r="M12" s="165"/>
      <c r="N12" s="165"/>
      <c r="O12" s="165"/>
    </row>
    <row r="13" spans="5:15" ht="15.75" x14ac:dyDescent="0.25">
      <c r="E13" s="165" t="s">
        <v>68</v>
      </c>
      <c r="F13" s="165"/>
      <c r="G13" s="165"/>
      <c r="H13" s="165"/>
      <c r="I13" s="165"/>
      <c r="J13" s="2"/>
      <c r="K13" s="165" t="s">
        <v>83</v>
      </c>
      <c r="L13" s="165"/>
      <c r="M13" s="165"/>
      <c r="N13" s="165"/>
      <c r="O13" s="165"/>
    </row>
    <row r="14" spans="5:15" ht="15.75" x14ac:dyDescent="0.25">
      <c r="E14" s="165" t="s">
        <v>71</v>
      </c>
      <c r="F14" s="165"/>
      <c r="G14" s="165"/>
      <c r="H14" s="165"/>
      <c r="I14" s="165"/>
      <c r="J14" s="2"/>
      <c r="K14" s="165" t="s">
        <v>85</v>
      </c>
      <c r="L14" s="165"/>
      <c r="M14" s="165"/>
      <c r="N14" s="165"/>
      <c r="O14" s="165"/>
    </row>
    <row r="15" spans="5:15" ht="15.75" x14ac:dyDescent="0.25">
      <c r="E15" s="166" t="s">
        <v>72</v>
      </c>
      <c r="F15" s="167"/>
      <c r="G15" s="167"/>
      <c r="H15" s="167"/>
      <c r="I15" s="168"/>
      <c r="J15" s="2"/>
      <c r="K15" s="165" t="s">
        <v>77</v>
      </c>
      <c r="L15" s="165"/>
      <c r="M15" s="165"/>
      <c r="N15" s="165"/>
      <c r="O15" s="165"/>
    </row>
    <row r="16" spans="5:15" ht="15.75" x14ac:dyDescent="0.25">
      <c r="E16" s="166" t="s">
        <v>73</v>
      </c>
      <c r="F16" s="167"/>
      <c r="G16" s="167"/>
      <c r="H16" s="167"/>
      <c r="I16" s="168"/>
      <c r="J16" s="2"/>
      <c r="K16" s="165" t="s">
        <v>78</v>
      </c>
      <c r="L16" s="165"/>
      <c r="M16" s="165"/>
      <c r="N16" s="165"/>
      <c r="O16" s="165"/>
    </row>
  </sheetData>
  <sortState xmlns:xlrd2="http://schemas.microsoft.com/office/spreadsheetml/2017/richdata2" ref="E6:I16">
    <sortCondition ref="E6"/>
  </sortState>
  <mergeCells count="25">
    <mergeCell ref="E16:I16"/>
    <mergeCell ref="K16:O16"/>
    <mergeCell ref="E10:I10"/>
    <mergeCell ref="E13:I13"/>
    <mergeCell ref="K6:O6"/>
    <mergeCell ref="K7:O7"/>
    <mergeCell ref="K8:O8"/>
    <mergeCell ref="K9:O9"/>
    <mergeCell ref="K10:O10"/>
    <mergeCell ref="K13:O13"/>
    <mergeCell ref="E15:I15"/>
    <mergeCell ref="K15:O15"/>
    <mergeCell ref="E9:I9"/>
    <mergeCell ref="E11:I11"/>
    <mergeCell ref="K11:O11"/>
    <mergeCell ref="E12:I12"/>
    <mergeCell ref="K12:O12"/>
    <mergeCell ref="E14:I14"/>
    <mergeCell ref="K14:O14"/>
    <mergeCell ref="E2:O2"/>
    <mergeCell ref="E5:I5"/>
    <mergeCell ref="K5:O5"/>
    <mergeCell ref="E6:I6"/>
    <mergeCell ref="E7:I7"/>
    <mergeCell ref="E8:I8"/>
  </mergeCells>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7E953-412F-4785-9C8D-8D78EA09AA9F}">
  <sheetPr>
    <tabColor theme="4" tint="-0.249977111117893"/>
  </sheetPr>
  <dimension ref="E2:N20"/>
  <sheetViews>
    <sheetView workbookViewId="0">
      <selection activeCell="F2" sqref="F2:I2"/>
    </sheetView>
  </sheetViews>
  <sheetFormatPr defaultRowHeight="15" x14ac:dyDescent="0.25"/>
  <cols>
    <col min="1" max="5" width="11.42578125" style="1" customWidth="1"/>
    <col min="6" max="9" width="17.85546875" style="1" customWidth="1"/>
    <col min="10" max="10" width="7.140625" style="1" customWidth="1"/>
    <col min="11" max="14" width="10.7109375" style="1" customWidth="1"/>
    <col min="15" max="16384" width="9.140625" style="1"/>
  </cols>
  <sheetData>
    <row r="2" spans="5:14" ht="32.25" x14ac:dyDescent="0.25">
      <c r="E2" s="10"/>
      <c r="F2" s="70" t="s">
        <v>16</v>
      </c>
      <c r="G2" s="70"/>
      <c r="H2" s="70"/>
      <c r="I2" s="70"/>
      <c r="J2" s="10"/>
      <c r="K2" s="10"/>
      <c r="L2" s="10"/>
      <c r="M2" s="10"/>
      <c r="N2" s="10"/>
    </row>
    <row r="5" spans="5:14" ht="15.75" x14ac:dyDescent="0.25">
      <c r="F5" s="9" t="s">
        <v>140</v>
      </c>
      <c r="G5" s="9" t="s">
        <v>141</v>
      </c>
      <c r="H5" s="9" t="s">
        <v>140</v>
      </c>
      <c r="I5" s="9" t="s">
        <v>141</v>
      </c>
    </row>
    <row r="6" spans="5:14" ht="15.75" x14ac:dyDescent="0.25">
      <c r="E6" s="7"/>
      <c r="F6" s="13">
        <v>1</v>
      </c>
      <c r="G6" s="11">
        <v>0.96</v>
      </c>
      <c r="H6" s="13">
        <v>16</v>
      </c>
      <c r="I6" s="11">
        <v>0.46</v>
      </c>
    </row>
    <row r="7" spans="5:14" ht="15.75" x14ac:dyDescent="0.25">
      <c r="E7" s="8"/>
      <c r="F7" s="14">
        <v>2</v>
      </c>
      <c r="G7" s="12">
        <v>0.93</v>
      </c>
      <c r="H7" s="14">
        <v>17</v>
      </c>
      <c r="I7" s="12">
        <v>0.43</v>
      </c>
    </row>
    <row r="8" spans="5:14" ht="15.75" x14ac:dyDescent="0.25">
      <c r="E8" s="7"/>
      <c r="F8" s="13">
        <v>3</v>
      </c>
      <c r="G8" s="11">
        <v>0.9</v>
      </c>
      <c r="H8" s="13">
        <v>18</v>
      </c>
      <c r="I8" s="11">
        <v>0.4</v>
      </c>
    </row>
    <row r="9" spans="5:14" ht="15.75" x14ac:dyDescent="0.25">
      <c r="E9" s="8"/>
      <c r="F9" s="14">
        <v>4</v>
      </c>
      <c r="G9" s="12">
        <v>0.86</v>
      </c>
      <c r="H9" s="14">
        <v>19</v>
      </c>
      <c r="I9" s="12">
        <v>0.36</v>
      </c>
    </row>
    <row r="10" spans="5:14" ht="15.75" x14ac:dyDescent="0.25">
      <c r="E10" s="7"/>
      <c r="F10" s="13">
        <v>5</v>
      </c>
      <c r="G10" s="11">
        <v>0.83</v>
      </c>
      <c r="H10" s="13">
        <v>20</v>
      </c>
      <c r="I10" s="11">
        <v>0.33</v>
      </c>
    </row>
    <row r="11" spans="5:14" ht="15.75" x14ac:dyDescent="0.25">
      <c r="E11" s="8"/>
      <c r="F11" s="14">
        <v>6</v>
      </c>
      <c r="G11" s="12">
        <v>0.8</v>
      </c>
      <c r="H11" s="14">
        <v>21</v>
      </c>
      <c r="I11" s="12">
        <v>0.3</v>
      </c>
    </row>
    <row r="12" spans="5:14" ht="15.75" x14ac:dyDescent="0.25">
      <c r="E12" s="7"/>
      <c r="F12" s="13">
        <v>7</v>
      </c>
      <c r="G12" s="11">
        <v>0.76</v>
      </c>
      <c r="H12" s="13">
        <v>22</v>
      </c>
      <c r="I12" s="11">
        <v>0.26</v>
      </c>
    </row>
    <row r="13" spans="5:14" ht="15.75" x14ac:dyDescent="0.25">
      <c r="E13" s="8"/>
      <c r="F13" s="14">
        <v>8</v>
      </c>
      <c r="G13" s="12">
        <v>0.73</v>
      </c>
      <c r="H13" s="14">
        <v>23</v>
      </c>
      <c r="I13" s="12">
        <v>0.23</v>
      </c>
    </row>
    <row r="14" spans="5:14" ht="15.75" x14ac:dyDescent="0.25">
      <c r="E14" s="7"/>
      <c r="F14" s="13">
        <v>9</v>
      </c>
      <c r="G14" s="11">
        <v>0.7</v>
      </c>
      <c r="H14" s="13">
        <v>24</v>
      </c>
      <c r="I14" s="11">
        <v>0.2</v>
      </c>
    </row>
    <row r="15" spans="5:14" ht="15.75" x14ac:dyDescent="0.25">
      <c r="E15" s="8"/>
      <c r="F15" s="14">
        <v>10</v>
      </c>
      <c r="G15" s="12">
        <v>0.66</v>
      </c>
      <c r="H15" s="14">
        <v>25</v>
      </c>
      <c r="I15" s="12">
        <v>0.16</v>
      </c>
      <c r="K15" s="169" t="s">
        <v>142</v>
      </c>
      <c r="L15" s="170"/>
      <c r="M15" s="170"/>
      <c r="N15" s="171"/>
    </row>
    <row r="16" spans="5:14" ht="15.75" x14ac:dyDescent="0.25">
      <c r="E16" s="7"/>
      <c r="F16" s="13">
        <v>11</v>
      </c>
      <c r="G16" s="11">
        <v>0.63</v>
      </c>
      <c r="H16" s="13">
        <v>26</v>
      </c>
      <c r="I16" s="11">
        <v>0.13</v>
      </c>
    </row>
    <row r="17" spans="5:14" ht="15.75" x14ac:dyDescent="0.25">
      <c r="E17" s="8"/>
      <c r="F17" s="14">
        <v>12</v>
      </c>
      <c r="G17" s="12">
        <v>0.6</v>
      </c>
      <c r="H17" s="14">
        <v>27</v>
      </c>
      <c r="I17" s="12">
        <v>0.1</v>
      </c>
      <c r="K17" s="174" t="s">
        <v>143</v>
      </c>
      <c r="L17" s="174"/>
      <c r="M17" s="178">
        <v>6808.56</v>
      </c>
      <c r="N17" s="178"/>
    </row>
    <row r="18" spans="5:14" ht="15.75" x14ac:dyDescent="0.25">
      <c r="E18" s="7"/>
      <c r="F18" s="13">
        <v>13</v>
      </c>
      <c r="G18" s="11">
        <v>0.56000000000000005</v>
      </c>
      <c r="H18" s="13">
        <v>28</v>
      </c>
      <c r="I18" s="11">
        <v>0.06</v>
      </c>
      <c r="K18" s="174" t="s">
        <v>16</v>
      </c>
      <c r="L18" s="174"/>
      <c r="M18" s="177">
        <v>0.93</v>
      </c>
      <c r="N18" s="177"/>
    </row>
    <row r="19" spans="5:14" ht="15.75" x14ac:dyDescent="0.25">
      <c r="E19" s="8"/>
      <c r="F19" s="14">
        <v>14</v>
      </c>
      <c r="G19" s="12">
        <v>0.53</v>
      </c>
      <c r="H19" s="14">
        <v>29</v>
      </c>
      <c r="I19" s="12">
        <v>0.03</v>
      </c>
    </row>
    <row r="20" spans="5:14" ht="15.75" x14ac:dyDescent="0.25">
      <c r="E20" s="7"/>
      <c r="F20" s="13">
        <v>15</v>
      </c>
      <c r="G20" s="11">
        <v>0.5</v>
      </c>
      <c r="H20" s="13">
        <v>30</v>
      </c>
      <c r="I20" s="11">
        <v>0</v>
      </c>
      <c r="K20" s="172" t="s">
        <v>144</v>
      </c>
      <c r="L20" s="173"/>
      <c r="M20" s="175">
        <f>M17-(M18*M17)</f>
        <v>476.59919999999966</v>
      </c>
      <c r="N20" s="176"/>
    </row>
  </sheetData>
  <mergeCells count="8">
    <mergeCell ref="F2:I2"/>
    <mergeCell ref="K15:N15"/>
    <mergeCell ref="K20:L20"/>
    <mergeCell ref="K18:L18"/>
    <mergeCell ref="K17:L17"/>
    <mergeCell ref="M20:N20"/>
    <mergeCell ref="M18:N18"/>
    <mergeCell ref="M17:N17"/>
  </mergeCells>
  <pageMargins left="0.511811024" right="0.511811024" top="0.78740157499999996" bottom="0.78740157499999996" header="0.31496062000000002" footer="0.31496062000000002"/>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983B3-3701-44A7-B0A0-4589ACE59260}">
  <sheetPr>
    <tabColor theme="4" tint="-0.499984740745262"/>
  </sheetPr>
  <dimension ref="B2:T13"/>
  <sheetViews>
    <sheetView workbookViewId="0">
      <selection activeCell="B2" sqref="B2:T2"/>
    </sheetView>
  </sheetViews>
  <sheetFormatPr defaultRowHeight="15" x14ac:dyDescent="0.25"/>
  <cols>
    <col min="1" max="1" width="10" style="1" customWidth="1"/>
    <col min="2" max="2" width="10.7109375" style="1" customWidth="1"/>
    <col min="3" max="6" width="9.140625" style="1"/>
    <col min="7" max="7" width="6.42578125" style="1" customWidth="1"/>
    <col min="8" max="12" width="9.140625" style="1"/>
    <col min="13" max="13" width="6.42578125" style="1" customWidth="1"/>
    <col min="14" max="16384" width="9.140625" style="1"/>
  </cols>
  <sheetData>
    <row r="2" spans="2:20" ht="32.25" customHeight="1" x14ac:dyDescent="0.25">
      <c r="B2" s="70" t="s">
        <v>17</v>
      </c>
      <c r="C2" s="70"/>
      <c r="D2" s="70"/>
      <c r="E2" s="70"/>
      <c r="F2" s="70"/>
      <c r="G2" s="70"/>
      <c r="H2" s="70"/>
      <c r="I2" s="70"/>
      <c r="J2" s="70"/>
      <c r="K2" s="70"/>
      <c r="L2" s="70"/>
      <c r="M2" s="70"/>
      <c r="N2" s="70"/>
      <c r="O2" s="70"/>
      <c r="P2" s="70"/>
      <c r="Q2" s="70"/>
      <c r="R2" s="70"/>
      <c r="S2" s="70"/>
      <c r="T2" s="70"/>
    </row>
    <row r="3" spans="2:20" ht="15" customHeight="1" x14ac:dyDescent="0.25">
      <c r="B3" s="10"/>
      <c r="C3" s="10"/>
      <c r="D3" s="10"/>
      <c r="E3" s="10"/>
      <c r="F3" s="10"/>
      <c r="G3" s="10"/>
      <c r="H3" s="10"/>
      <c r="I3" s="10"/>
      <c r="J3" s="10"/>
      <c r="K3" s="10"/>
      <c r="L3" s="10"/>
      <c r="M3" s="10"/>
      <c r="N3" s="10"/>
      <c r="O3" s="10"/>
      <c r="P3" s="10"/>
      <c r="Q3" s="10"/>
      <c r="R3" s="10"/>
    </row>
    <row r="5" spans="2:20" ht="15.75" x14ac:dyDescent="0.25">
      <c r="B5" s="131" t="s">
        <v>145</v>
      </c>
      <c r="C5" s="131"/>
      <c r="D5" s="131"/>
      <c r="E5" s="131"/>
      <c r="F5" s="131"/>
      <c r="H5" s="131" t="s">
        <v>146</v>
      </c>
      <c r="I5" s="131"/>
      <c r="J5" s="131"/>
      <c r="K5" s="131"/>
      <c r="L5" s="131"/>
      <c r="N5" s="131" t="s">
        <v>147</v>
      </c>
      <c r="O5" s="131"/>
      <c r="P5" s="131"/>
      <c r="Q5" s="131"/>
      <c r="R5" s="131"/>
    </row>
    <row r="7" spans="2:20" ht="15.75" x14ac:dyDescent="0.25">
      <c r="B7" s="75" t="s">
        <v>154</v>
      </c>
      <c r="C7" s="75"/>
      <c r="D7" s="75"/>
      <c r="E7" s="183">
        <v>1.1000000000000001</v>
      </c>
      <c r="F7" s="183"/>
      <c r="H7" s="75" t="s">
        <v>148</v>
      </c>
      <c r="I7" s="75"/>
      <c r="J7" s="75"/>
      <c r="K7" s="177">
        <v>0.9</v>
      </c>
      <c r="L7" s="177"/>
      <c r="N7" s="75" t="s">
        <v>150</v>
      </c>
      <c r="O7" s="75"/>
      <c r="P7" s="75"/>
      <c r="Q7" s="178">
        <v>10000</v>
      </c>
      <c r="R7" s="178"/>
    </row>
    <row r="8" spans="2:20" ht="15.75" x14ac:dyDescent="0.25">
      <c r="B8" s="75" t="s">
        <v>149</v>
      </c>
      <c r="C8" s="75"/>
      <c r="D8" s="75"/>
      <c r="E8" s="183">
        <v>0.17499999999999999</v>
      </c>
      <c r="F8" s="183"/>
      <c r="H8" s="75" t="s">
        <v>149</v>
      </c>
      <c r="I8" s="75"/>
      <c r="J8" s="75"/>
      <c r="K8" s="177">
        <v>0.2</v>
      </c>
      <c r="L8" s="177"/>
      <c r="N8" s="75" t="s">
        <v>148</v>
      </c>
      <c r="O8" s="75"/>
      <c r="P8" s="75"/>
      <c r="Q8" s="312">
        <v>2000</v>
      </c>
      <c r="R8" s="312"/>
    </row>
    <row r="9" spans="2:20" ht="15.75" x14ac:dyDescent="0.25">
      <c r="B9" s="75" t="s">
        <v>151</v>
      </c>
      <c r="C9" s="75"/>
      <c r="D9" s="75"/>
      <c r="E9" s="183">
        <v>6.3899999999999998E-2</v>
      </c>
      <c r="F9" s="183"/>
      <c r="H9" s="75" t="s">
        <v>151</v>
      </c>
      <c r="I9" s="75"/>
      <c r="J9" s="75"/>
      <c r="K9" s="183">
        <v>6.3899999999999998E-2</v>
      </c>
      <c r="L9" s="183"/>
      <c r="N9" s="75" t="s">
        <v>149</v>
      </c>
      <c r="O9" s="75"/>
      <c r="P9" s="75"/>
      <c r="Q9" s="183">
        <v>0.22500000000000001</v>
      </c>
      <c r="R9" s="183"/>
    </row>
    <row r="11" spans="2:20" ht="15.75" x14ac:dyDescent="0.25">
      <c r="B11" s="179" t="s">
        <v>152</v>
      </c>
      <c r="C11" s="179"/>
      <c r="D11" s="180"/>
      <c r="E11" s="181">
        <f>E7-(E7*E8)</f>
        <v>0.90750000000000008</v>
      </c>
      <c r="F11" s="182"/>
      <c r="H11" s="179" t="s">
        <v>155</v>
      </c>
      <c r="I11" s="179"/>
      <c r="J11" s="180"/>
      <c r="K11" s="181">
        <f>K7/(1-K8)</f>
        <v>1.125</v>
      </c>
      <c r="L11" s="182"/>
      <c r="N11" s="179" t="s">
        <v>156</v>
      </c>
      <c r="O11" s="179"/>
      <c r="P11" s="180"/>
      <c r="Q11" s="184">
        <f>Q9*Q8</f>
        <v>450</v>
      </c>
      <c r="R11" s="185"/>
    </row>
    <row r="12" spans="2:20" ht="15.75" x14ac:dyDescent="0.25">
      <c r="B12" s="179" t="s">
        <v>153</v>
      </c>
      <c r="C12" s="179"/>
      <c r="D12" s="180"/>
      <c r="E12" s="181">
        <f>E11*E9</f>
        <v>5.7989250000000006E-2</v>
      </c>
      <c r="F12" s="182"/>
      <c r="H12" s="179" t="s">
        <v>153</v>
      </c>
      <c r="I12" s="179"/>
      <c r="J12" s="180"/>
      <c r="K12" s="181">
        <f>K9*K7</f>
        <v>5.7509999999999999E-2</v>
      </c>
      <c r="L12" s="182"/>
      <c r="N12" s="179" t="s">
        <v>157</v>
      </c>
      <c r="O12" s="179"/>
      <c r="P12" s="180"/>
      <c r="Q12" s="184">
        <f>(Q7+Q8*(1-Q9))</f>
        <v>11550</v>
      </c>
      <c r="R12" s="185"/>
    </row>
    <row r="13" spans="2:20" x14ac:dyDescent="0.25">
      <c r="E13" s="15"/>
      <c r="F13" s="15"/>
    </row>
  </sheetData>
  <mergeCells count="34">
    <mergeCell ref="B2:T2"/>
    <mergeCell ref="B9:D9"/>
    <mergeCell ref="E9:F9"/>
    <mergeCell ref="H9:J9"/>
    <mergeCell ref="K9:L9"/>
    <mergeCell ref="B12:D12"/>
    <mergeCell ref="E12:F12"/>
    <mergeCell ref="H12:J12"/>
    <mergeCell ref="K12:L12"/>
    <mergeCell ref="B11:D11"/>
    <mergeCell ref="E11:F11"/>
    <mergeCell ref="H11:J11"/>
    <mergeCell ref="K11:L11"/>
    <mergeCell ref="Q9:R9"/>
    <mergeCell ref="Q12:R12"/>
    <mergeCell ref="N11:P11"/>
    <mergeCell ref="Q11:R11"/>
    <mergeCell ref="N9:P9"/>
    <mergeCell ref="N12:P12"/>
    <mergeCell ref="N7:P7"/>
    <mergeCell ref="B7:D7"/>
    <mergeCell ref="E7:F7"/>
    <mergeCell ref="Q8:R8"/>
    <mergeCell ref="Q7:R7"/>
    <mergeCell ref="H7:J7"/>
    <mergeCell ref="K7:L7"/>
    <mergeCell ref="H8:J8"/>
    <mergeCell ref="K8:L8"/>
    <mergeCell ref="N8:P8"/>
    <mergeCell ref="B8:D8"/>
    <mergeCell ref="E8:F8"/>
    <mergeCell ref="B5:F5"/>
    <mergeCell ref="H5:L5"/>
    <mergeCell ref="N5:R5"/>
  </mergeCells>
  <pageMargins left="0.511811024" right="0.511811024" top="0.78740157499999996" bottom="0.78740157499999996" header="0.31496062000000002" footer="0.31496062000000002"/>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C21CE-D8A1-4001-9D1E-FE119DA6838F}">
  <sheetPr>
    <tabColor theme="4" tint="-0.249977111117893"/>
  </sheetPr>
  <dimension ref="E2:O13"/>
  <sheetViews>
    <sheetView workbookViewId="0">
      <selection activeCell="E2" sqref="E2:O2"/>
    </sheetView>
  </sheetViews>
  <sheetFormatPr defaultRowHeight="15" x14ac:dyDescent="0.25"/>
  <cols>
    <col min="1" max="4" width="10.7109375" style="1" customWidth="1"/>
    <col min="5" max="16384" width="9.140625" style="1"/>
  </cols>
  <sheetData>
    <row r="2" spans="5:15" ht="32.25" x14ac:dyDescent="0.25">
      <c r="E2" s="70" t="s">
        <v>18</v>
      </c>
      <c r="F2" s="70"/>
      <c r="G2" s="70"/>
      <c r="H2" s="70"/>
      <c r="I2" s="70"/>
      <c r="J2" s="70"/>
      <c r="K2" s="70"/>
      <c r="L2" s="70"/>
      <c r="M2" s="70"/>
      <c r="N2" s="70"/>
      <c r="O2" s="70"/>
    </row>
    <row r="11" spans="5:15" x14ac:dyDescent="0.25">
      <c r="I11"/>
    </row>
    <row r="13" spans="5:15" x14ac:dyDescent="0.25">
      <c r="K13"/>
    </row>
  </sheetData>
  <mergeCells count="1">
    <mergeCell ref="E2:O2"/>
  </mergeCells>
  <pageMargins left="0.511811024" right="0.511811024" top="0.78740157499999996" bottom="0.78740157499999996" header="0.31496062000000002" footer="0.31496062000000002"/>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D0C43-59E0-445A-9801-A62964B1734F}">
  <sheetPr>
    <tabColor theme="4" tint="-0.499984740745262"/>
  </sheetPr>
  <dimension ref="E2:P18"/>
  <sheetViews>
    <sheetView workbookViewId="0">
      <selection activeCell="E2" sqref="E2:O2"/>
    </sheetView>
  </sheetViews>
  <sheetFormatPr defaultRowHeight="15" x14ac:dyDescent="0.25"/>
  <cols>
    <col min="1" max="5" width="10.7109375" style="1" customWidth="1"/>
    <col min="6" max="16384" width="9.140625" style="1"/>
  </cols>
  <sheetData>
    <row r="2" spans="5:16" ht="32.25" x14ac:dyDescent="0.25">
      <c r="E2" s="70" t="s">
        <v>19</v>
      </c>
      <c r="F2" s="70"/>
      <c r="G2" s="70"/>
      <c r="H2" s="70"/>
      <c r="I2" s="70"/>
      <c r="J2" s="70"/>
      <c r="K2" s="70"/>
      <c r="L2" s="70"/>
      <c r="M2" s="70"/>
      <c r="N2" s="70"/>
      <c r="O2" s="70"/>
      <c r="P2" s="10"/>
    </row>
    <row r="5" spans="5:16" ht="15.75" x14ac:dyDescent="0.25">
      <c r="E5" s="131" t="s">
        <v>158</v>
      </c>
      <c r="F5" s="131"/>
      <c r="G5" s="131"/>
      <c r="H5" s="131"/>
      <c r="I5" s="131"/>
      <c r="J5" s="16" t="s">
        <v>159</v>
      </c>
      <c r="K5" s="131" t="s">
        <v>160</v>
      </c>
      <c r="L5" s="131"/>
      <c r="M5" s="131"/>
      <c r="N5" s="131"/>
      <c r="O5" s="131"/>
    </row>
    <row r="7" spans="5:16" x14ac:dyDescent="0.25">
      <c r="I7"/>
    </row>
    <row r="11" spans="5:16" ht="15.75" x14ac:dyDescent="0.25">
      <c r="E11" s="75" t="s">
        <v>161</v>
      </c>
      <c r="F11" s="75"/>
      <c r="G11" s="75"/>
      <c r="H11" s="97">
        <v>1.4E-2</v>
      </c>
      <c r="I11" s="97"/>
      <c r="J11" s="18"/>
      <c r="K11" s="75" t="s">
        <v>161</v>
      </c>
      <c r="L11" s="75"/>
      <c r="M11" s="75"/>
      <c r="N11" s="97">
        <v>0.01</v>
      </c>
      <c r="O11" s="97"/>
    </row>
    <row r="12" spans="5:16" ht="15.75" x14ac:dyDescent="0.25">
      <c r="E12" s="75" t="s">
        <v>162</v>
      </c>
      <c r="F12" s="75"/>
      <c r="G12" s="75"/>
      <c r="H12" s="97">
        <v>5.1000000000000004E-3</v>
      </c>
      <c r="I12" s="97"/>
      <c r="J12" s="18"/>
      <c r="K12" s="75" t="s">
        <v>162</v>
      </c>
      <c r="L12" s="75"/>
      <c r="M12" s="75"/>
      <c r="N12" s="97">
        <v>4.5999999999999999E-3</v>
      </c>
      <c r="O12" s="97"/>
    </row>
    <row r="13" spans="5:16" ht="15.75" x14ac:dyDescent="0.25">
      <c r="E13" s="75" t="s">
        <v>163</v>
      </c>
      <c r="F13" s="75"/>
      <c r="G13" s="75"/>
      <c r="H13" s="97">
        <v>0.17499999999999999</v>
      </c>
      <c r="I13" s="97"/>
      <c r="J13" s="18"/>
      <c r="K13" s="75" t="s">
        <v>163</v>
      </c>
      <c r="L13" s="75"/>
      <c r="M13" s="75"/>
      <c r="N13" s="97">
        <v>0.22500000000000001</v>
      </c>
      <c r="O13" s="97"/>
    </row>
    <row r="14" spans="5:16" ht="15.75" x14ac:dyDescent="0.25">
      <c r="E14" s="17"/>
      <c r="F14" s="17"/>
      <c r="G14" s="17"/>
      <c r="H14" s="19"/>
      <c r="I14" s="19"/>
      <c r="J14" s="18"/>
      <c r="K14" s="17"/>
      <c r="L14" s="17"/>
      <c r="M14" s="17"/>
      <c r="N14" s="19"/>
      <c r="O14" s="19"/>
    </row>
    <row r="15" spans="5:16" x14ac:dyDescent="0.25">
      <c r="E15" s="18"/>
      <c r="F15" s="18"/>
      <c r="G15" s="18"/>
      <c r="H15" s="18"/>
      <c r="I15" s="18"/>
      <c r="J15" s="18"/>
      <c r="K15" s="18"/>
      <c r="L15" s="18"/>
      <c r="M15" s="18"/>
      <c r="N15" s="18"/>
      <c r="O15" s="18"/>
    </row>
    <row r="16" spans="5:16" ht="15.75" x14ac:dyDescent="0.25">
      <c r="E16" s="188" t="s">
        <v>152</v>
      </c>
      <c r="F16" s="188"/>
      <c r="G16" s="189"/>
      <c r="H16" s="126">
        <f>H12-(H12*H13)</f>
        <v>4.2075000000000003E-3</v>
      </c>
      <c r="I16" s="90"/>
      <c r="J16" s="18"/>
      <c r="K16" s="188" t="s">
        <v>152</v>
      </c>
      <c r="L16" s="188"/>
      <c r="M16" s="189"/>
      <c r="N16" s="126">
        <f>N12-(N12*N13)</f>
        <v>3.5649999999999996E-3</v>
      </c>
      <c r="O16" s="90"/>
    </row>
    <row r="18" spans="5:9" ht="15.75" x14ac:dyDescent="0.25">
      <c r="E18" s="179" t="s">
        <v>164</v>
      </c>
      <c r="F18" s="179"/>
      <c r="G18" s="180"/>
      <c r="H18" s="186" t="str">
        <f>IF(H16&gt;N16,"Não Compensa","Compensa")</f>
        <v>Não Compensa</v>
      </c>
      <c r="I18" s="187"/>
    </row>
  </sheetData>
  <mergeCells count="21">
    <mergeCell ref="E18:G18"/>
    <mergeCell ref="H18:I18"/>
    <mergeCell ref="E5:I5"/>
    <mergeCell ref="K5:O5"/>
    <mergeCell ref="E2:O2"/>
    <mergeCell ref="E16:G16"/>
    <mergeCell ref="E13:G13"/>
    <mergeCell ref="E12:G12"/>
    <mergeCell ref="E11:G11"/>
    <mergeCell ref="K11:M11"/>
    <mergeCell ref="K12:M12"/>
    <mergeCell ref="K13:M13"/>
    <mergeCell ref="K16:M16"/>
    <mergeCell ref="H16:I16"/>
    <mergeCell ref="N16:O16"/>
    <mergeCell ref="H13:I13"/>
    <mergeCell ref="N13:O13"/>
    <mergeCell ref="H12:I12"/>
    <mergeCell ref="H11:I11"/>
    <mergeCell ref="N11:O11"/>
    <mergeCell ref="N12:O12"/>
  </mergeCells>
  <conditionalFormatting sqref="H18:I18">
    <cfRule type="beginsWith" dxfId="3" priority="1" operator="beginsWith" text="Compensa">
      <formula>LEFT(H18,LEN("Compensa"))="Compensa"</formula>
    </cfRule>
    <cfRule type="beginsWith" dxfId="2" priority="2" operator="beginsWith" text="Não Compensa">
      <formula>LEFT(H18,LEN("Não Compensa"))="Não Compensa"</formula>
    </cfRule>
  </conditionalFormatting>
  <pageMargins left="0.511811024" right="0.511811024" top="0.78740157499999996" bottom="0.78740157499999996" header="0.31496062000000002" footer="0.31496062000000002"/>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2E57E-5E5B-4BAC-95BA-578B027CD3D5}">
  <sheetPr>
    <tabColor theme="4" tint="-0.249977111117893"/>
  </sheetPr>
  <dimension ref="E2:O2"/>
  <sheetViews>
    <sheetView workbookViewId="0">
      <selection activeCell="E2" sqref="E2:O2"/>
    </sheetView>
  </sheetViews>
  <sheetFormatPr defaultRowHeight="15" x14ac:dyDescent="0.25"/>
  <cols>
    <col min="1" max="4" width="10.7109375" style="1" customWidth="1"/>
    <col min="5" max="16384" width="9.140625" style="1"/>
  </cols>
  <sheetData>
    <row r="2" spans="5:15" ht="32.25" x14ac:dyDescent="0.25">
      <c r="E2" s="70" t="s">
        <v>20</v>
      </c>
      <c r="F2" s="70"/>
      <c r="G2" s="70"/>
      <c r="H2" s="70"/>
      <c r="I2" s="70"/>
      <c r="J2" s="70"/>
      <c r="K2" s="70"/>
      <c r="L2" s="70"/>
      <c r="M2" s="70"/>
      <c r="N2" s="70"/>
      <c r="O2" s="70"/>
    </row>
  </sheetData>
  <mergeCells count="1">
    <mergeCell ref="E2:O2"/>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CE84F-B834-4A54-B56A-9BE1C010D396}">
  <sheetPr>
    <tabColor theme="4" tint="-0.499984740745262"/>
  </sheetPr>
  <dimension ref="E2:O18"/>
  <sheetViews>
    <sheetView workbookViewId="0"/>
  </sheetViews>
  <sheetFormatPr defaultRowHeight="15" x14ac:dyDescent="0.25"/>
  <cols>
    <col min="1" max="4" width="10.7109375" style="1" customWidth="1"/>
    <col min="5" max="16384" width="9.140625" style="1"/>
  </cols>
  <sheetData>
    <row r="2" spans="5:15" ht="32.25" x14ac:dyDescent="0.25">
      <c r="E2" s="70" t="s">
        <v>37</v>
      </c>
      <c r="F2" s="70"/>
      <c r="G2" s="70"/>
      <c r="H2" s="70"/>
      <c r="I2" s="70"/>
      <c r="J2" s="70"/>
      <c r="K2" s="70"/>
      <c r="L2" s="70"/>
      <c r="M2" s="70"/>
      <c r="N2" s="70"/>
      <c r="O2" s="70"/>
    </row>
    <row r="5" spans="5:15" s="2" customFormat="1" ht="15.75" x14ac:dyDescent="0.25">
      <c r="E5" s="71" t="s">
        <v>38</v>
      </c>
      <c r="F5" s="71"/>
      <c r="G5" s="71"/>
      <c r="H5" s="71"/>
      <c r="I5" s="71"/>
      <c r="K5" s="71" t="s">
        <v>39</v>
      </c>
      <c r="L5" s="71"/>
      <c r="M5" s="71"/>
      <c r="N5" s="71"/>
      <c r="O5" s="71"/>
    </row>
    <row r="6" spans="5:15" s="2" customFormat="1" ht="15.75" x14ac:dyDescent="0.25">
      <c r="E6" s="71"/>
      <c r="F6" s="71"/>
      <c r="G6" s="71"/>
      <c r="H6" s="71"/>
      <c r="I6" s="71"/>
      <c r="K6" s="71"/>
      <c r="L6" s="71"/>
      <c r="M6" s="71"/>
      <c r="N6" s="71"/>
      <c r="O6" s="71"/>
    </row>
    <row r="7" spans="5:15" s="2" customFormat="1" ht="15.75" x14ac:dyDescent="0.25"/>
    <row r="8" spans="5:15" s="2" customFormat="1" ht="15.75" x14ac:dyDescent="0.25">
      <c r="E8" s="63" t="s">
        <v>40</v>
      </c>
      <c r="F8" s="63"/>
      <c r="G8" s="63"/>
      <c r="H8" s="63"/>
      <c r="I8" s="63"/>
      <c r="K8" s="63" t="s">
        <v>43</v>
      </c>
      <c r="L8" s="63"/>
      <c r="M8" s="63"/>
      <c r="N8" s="63"/>
      <c r="O8" s="63"/>
    </row>
    <row r="9" spans="5:15" s="2" customFormat="1" ht="15.75" x14ac:dyDescent="0.25">
      <c r="E9" s="72">
        <v>7.8799999999999995E-2</v>
      </c>
      <c r="F9" s="73"/>
      <c r="G9" s="73"/>
      <c r="H9" s="73"/>
      <c r="I9" s="74"/>
      <c r="K9" s="64">
        <v>106</v>
      </c>
      <c r="L9" s="65"/>
      <c r="M9" s="65"/>
      <c r="N9" s="65"/>
      <c r="O9" s="66"/>
    </row>
    <row r="10" spans="5:15" s="2" customFormat="1" ht="15.75" x14ac:dyDescent="0.25"/>
    <row r="11" spans="5:15" s="2" customFormat="1" ht="15.75" x14ac:dyDescent="0.25">
      <c r="E11" s="63" t="s">
        <v>41</v>
      </c>
      <c r="F11" s="63"/>
      <c r="G11" s="63"/>
      <c r="H11" s="63"/>
      <c r="I11" s="63"/>
      <c r="K11" s="63" t="s">
        <v>44</v>
      </c>
      <c r="L11" s="63"/>
      <c r="M11" s="63"/>
      <c r="N11" s="63"/>
      <c r="O11" s="63"/>
    </row>
    <row r="12" spans="5:15" s="2" customFormat="1" ht="15.75" x14ac:dyDescent="0.25">
      <c r="E12" s="72">
        <v>6.3899999999999998E-2</v>
      </c>
      <c r="F12" s="73"/>
      <c r="G12" s="73"/>
      <c r="H12" s="73"/>
      <c r="I12" s="74"/>
      <c r="K12" s="64">
        <v>0.55000000000000004</v>
      </c>
      <c r="L12" s="65"/>
      <c r="M12" s="65"/>
      <c r="N12" s="65"/>
      <c r="O12" s="66"/>
    </row>
    <row r="13" spans="5:15" s="2" customFormat="1" ht="15.75" x14ac:dyDescent="0.25"/>
    <row r="14" spans="5:15" s="2" customFormat="1" ht="15.75" x14ac:dyDescent="0.25">
      <c r="E14" s="63" t="s">
        <v>42</v>
      </c>
      <c r="F14" s="63"/>
      <c r="G14" s="63"/>
      <c r="H14" s="63"/>
      <c r="I14" s="63"/>
      <c r="K14" s="63" t="s">
        <v>45</v>
      </c>
      <c r="L14" s="63"/>
      <c r="M14" s="63"/>
      <c r="N14" s="63"/>
      <c r="O14" s="63"/>
    </row>
    <row r="15" spans="5:15" s="2" customFormat="1" ht="15.75" x14ac:dyDescent="0.25">
      <c r="E15" s="67">
        <f>E9/E12</f>
        <v>1.2331768388106417</v>
      </c>
      <c r="F15" s="68"/>
      <c r="G15" s="68"/>
      <c r="H15" s="68"/>
      <c r="I15" s="69"/>
      <c r="K15" s="72">
        <v>5.3E-3</v>
      </c>
      <c r="L15" s="73"/>
      <c r="M15" s="73"/>
      <c r="N15" s="73"/>
      <c r="O15" s="74"/>
    </row>
    <row r="17" spans="11:15" ht="15.75" x14ac:dyDescent="0.25">
      <c r="K17" s="63" t="s">
        <v>42</v>
      </c>
      <c r="L17" s="63"/>
      <c r="M17" s="63"/>
      <c r="N17" s="63"/>
      <c r="O17" s="63"/>
    </row>
    <row r="18" spans="11:15" ht="15.75" x14ac:dyDescent="0.25">
      <c r="K18" s="67">
        <f>(K12/K9)/K15</f>
        <v>0.97899608401566407</v>
      </c>
      <c r="L18" s="68"/>
      <c r="M18" s="68"/>
      <c r="N18" s="68"/>
      <c r="O18" s="69"/>
    </row>
  </sheetData>
  <mergeCells count="17">
    <mergeCell ref="E11:I11"/>
    <mergeCell ref="E12:I12"/>
    <mergeCell ref="E14:I14"/>
    <mergeCell ref="E15:I15"/>
    <mergeCell ref="K15:O15"/>
    <mergeCell ref="E2:O2"/>
    <mergeCell ref="E5:I6"/>
    <mergeCell ref="K5:O6"/>
    <mergeCell ref="E8:I8"/>
    <mergeCell ref="E9:I9"/>
    <mergeCell ref="K8:O8"/>
    <mergeCell ref="K9:O9"/>
    <mergeCell ref="K11:O11"/>
    <mergeCell ref="K12:O12"/>
    <mergeCell ref="K14:O14"/>
    <mergeCell ref="K17:O17"/>
    <mergeCell ref="K18:O18"/>
  </mergeCells>
  <pageMargins left="0.511811024" right="0.511811024" top="0.78740157499999996" bottom="0.78740157499999996" header="0.31496062000000002" footer="0.31496062000000002"/>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A4D7-8478-4EAB-B4F8-4210993D4A4D}">
  <sheetPr>
    <tabColor theme="4" tint="-0.499984740745262"/>
  </sheetPr>
  <dimension ref="C2:P19"/>
  <sheetViews>
    <sheetView workbookViewId="0">
      <selection activeCell="C2" sqref="C2:P2"/>
    </sheetView>
  </sheetViews>
  <sheetFormatPr defaultRowHeight="15" x14ac:dyDescent="0.25"/>
  <cols>
    <col min="1" max="2" width="10" style="1" customWidth="1"/>
    <col min="3" max="3" width="10.7109375" style="1" customWidth="1"/>
    <col min="4" max="5" width="10" style="1" customWidth="1"/>
    <col min="6" max="6" width="10.7109375" style="1" customWidth="1"/>
    <col min="7" max="7" width="7.85546875" style="1" customWidth="1"/>
    <col min="8" max="8" width="10.7109375" style="1" customWidth="1"/>
    <col min="9" max="10" width="10" style="1" customWidth="1"/>
    <col min="11" max="11" width="10.7109375" style="1" customWidth="1"/>
    <col min="12" max="12" width="7.85546875" style="1" customWidth="1"/>
    <col min="13" max="13" width="10.7109375" style="1" customWidth="1"/>
    <col min="14" max="15" width="10" style="1" customWidth="1"/>
    <col min="16" max="16" width="10.7109375" style="1" customWidth="1"/>
    <col min="17" max="16384" width="9.140625" style="1"/>
  </cols>
  <sheetData>
    <row r="2" spans="3:16" ht="32.25" x14ac:dyDescent="0.25">
      <c r="C2" s="70" t="s">
        <v>313</v>
      </c>
      <c r="D2" s="70"/>
      <c r="E2" s="70"/>
      <c r="F2" s="70"/>
      <c r="G2" s="70"/>
      <c r="H2" s="70"/>
      <c r="I2" s="70"/>
      <c r="J2" s="70"/>
      <c r="K2" s="70"/>
      <c r="L2" s="70"/>
      <c r="M2" s="70"/>
      <c r="N2" s="70"/>
      <c r="O2" s="70"/>
      <c r="P2" s="70"/>
    </row>
    <row r="5" spans="3:16" ht="15.75" x14ac:dyDescent="0.25">
      <c r="C5" s="114" t="s">
        <v>314</v>
      </c>
      <c r="D5" s="112"/>
      <c r="E5" s="112"/>
      <c r="F5" s="113"/>
      <c r="H5" s="114" t="s">
        <v>316</v>
      </c>
      <c r="I5" s="112"/>
      <c r="J5" s="112"/>
      <c r="K5" s="113"/>
      <c r="M5" s="114" t="s">
        <v>317</v>
      </c>
      <c r="N5" s="112"/>
      <c r="O5" s="112"/>
      <c r="P5" s="113"/>
    </row>
    <row r="6" spans="3:16" ht="15.75" x14ac:dyDescent="0.25">
      <c r="C6" s="42">
        <v>1200</v>
      </c>
      <c r="D6" s="190" t="s">
        <v>315</v>
      </c>
      <c r="E6" s="191"/>
      <c r="F6" s="43">
        <v>3000</v>
      </c>
      <c r="H6" s="42">
        <v>1200</v>
      </c>
      <c r="I6" s="190" t="s">
        <v>318</v>
      </c>
      <c r="J6" s="191"/>
      <c r="K6" s="43">
        <v>2</v>
      </c>
      <c r="M6" s="42">
        <v>2</v>
      </c>
      <c r="N6" s="190" t="s">
        <v>319</v>
      </c>
      <c r="O6" s="191"/>
      <c r="P6" s="43">
        <v>2</v>
      </c>
    </row>
    <row r="7" spans="3:16" ht="15.75" x14ac:dyDescent="0.25">
      <c r="C7" s="195">
        <f>C6/F6</f>
        <v>0.4</v>
      </c>
      <c r="D7" s="196"/>
      <c r="E7" s="196"/>
      <c r="F7" s="197"/>
      <c r="H7" s="192">
        <f>H6*K6</f>
        <v>2400</v>
      </c>
      <c r="I7" s="193"/>
      <c r="J7" s="193"/>
      <c r="K7" s="194"/>
      <c r="M7" s="192">
        <f>M6^P6</f>
        <v>4</v>
      </c>
      <c r="N7" s="193"/>
      <c r="O7" s="193"/>
      <c r="P7" s="194"/>
    </row>
    <row r="9" spans="3:16" ht="15.75" x14ac:dyDescent="0.25">
      <c r="C9" s="114" t="s">
        <v>320</v>
      </c>
      <c r="D9" s="112"/>
      <c r="E9" s="112"/>
      <c r="F9" s="113"/>
      <c r="H9" s="114" t="s">
        <v>321</v>
      </c>
      <c r="I9" s="112"/>
      <c r="J9" s="112"/>
      <c r="K9" s="113"/>
      <c r="M9" s="114" t="s">
        <v>322</v>
      </c>
      <c r="N9" s="112"/>
      <c r="O9" s="112"/>
      <c r="P9" s="113"/>
    </row>
    <row r="10" spans="3:16" ht="15.75" x14ac:dyDescent="0.25">
      <c r="C10" s="42">
        <v>4</v>
      </c>
      <c r="D10" s="190" t="s">
        <v>323</v>
      </c>
      <c r="E10" s="191"/>
      <c r="F10" s="43">
        <v>20</v>
      </c>
      <c r="H10" s="42">
        <v>10</v>
      </c>
      <c r="I10" s="190" t="s">
        <v>214</v>
      </c>
      <c r="J10" s="191"/>
      <c r="K10" s="43">
        <v>2</v>
      </c>
      <c r="M10" s="44">
        <v>0.03</v>
      </c>
      <c r="N10" s="190" t="s">
        <v>212</v>
      </c>
      <c r="O10" s="191"/>
      <c r="P10" s="43">
        <v>4000</v>
      </c>
    </row>
    <row r="11" spans="3:16" ht="15.75" x14ac:dyDescent="0.25">
      <c r="C11" s="195">
        <f>C10+F10</f>
        <v>24</v>
      </c>
      <c r="D11" s="196"/>
      <c r="E11" s="196"/>
      <c r="F11" s="197"/>
      <c r="H11" s="192">
        <f>H10-K10</f>
        <v>8</v>
      </c>
      <c r="I11" s="193"/>
      <c r="J11" s="193"/>
      <c r="K11" s="194"/>
      <c r="M11" s="192">
        <f>M10*P10</f>
        <v>120</v>
      </c>
      <c r="N11" s="193"/>
      <c r="O11" s="193"/>
      <c r="P11" s="194"/>
    </row>
    <row r="13" spans="3:16" ht="15.75" x14ac:dyDescent="0.25">
      <c r="C13" s="114" t="s">
        <v>324</v>
      </c>
      <c r="D13" s="112"/>
      <c r="E13" s="112"/>
      <c r="F13" s="113"/>
      <c r="H13" s="114" t="s">
        <v>327</v>
      </c>
      <c r="I13" s="112"/>
      <c r="J13" s="112"/>
      <c r="K13" s="113"/>
      <c r="M13" s="114" t="s">
        <v>326</v>
      </c>
      <c r="N13" s="112"/>
      <c r="O13" s="112"/>
      <c r="P13" s="113"/>
    </row>
    <row r="14" spans="3:16" ht="15.75" x14ac:dyDescent="0.25">
      <c r="C14" s="45" t="s">
        <v>324</v>
      </c>
      <c r="D14" s="190" t="s">
        <v>212</v>
      </c>
      <c r="E14" s="191"/>
      <c r="F14" s="43">
        <v>25</v>
      </c>
      <c r="H14" s="45" t="s">
        <v>325</v>
      </c>
      <c r="I14" s="190" t="s">
        <v>212</v>
      </c>
      <c r="J14" s="191"/>
      <c r="K14" s="43">
        <v>81</v>
      </c>
      <c r="M14" s="42">
        <v>150</v>
      </c>
      <c r="N14" s="190" t="s">
        <v>214</v>
      </c>
      <c r="O14" s="191"/>
      <c r="P14" s="46">
        <v>0.15</v>
      </c>
    </row>
    <row r="15" spans="3:16" ht="15.75" x14ac:dyDescent="0.25">
      <c r="C15" s="195">
        <f>LN(F14)</f>
        <v>3.2188758248682006</v>
      </c>
      <c r="D15" s="196"/>
      <c r="E15" s="196"/>
      <c r="F15" s="197"/>
      <c r="H15" s="195">
        <f>SQRT(K14)</f>
        <v>9</v>
      </c>
      <c r="I15" s="196"/>
      <c r="J15" s="196"/>
      <c r="K15" s="197"/>
      <c r="M15" s="195">
        <f>M14-(M14*P14)</f>
        <v>127.5</v>
      </c>
      <c r="N15" s="196"/>
      <c r="O15" s="196"/>
      <c r="P15" s="197"/>
    </row>
    <row r="17" spans="3:16" ht="15.75" x14ac:dyDescent="0.25">
      <c r="C17" s="114" t="s">
        <v>328</v>
      </c>
      <c r="D17" s="112"/>
      <c r="E17" s="112"/>
      <c r="F17" s="113"/>
      <c r="H17" s="114" t="s">
        <v>329</v>
      </c>
      <c r="I17" s="112"/>
      <c r="J17" s="112"/>
      <c r="K17" s="113"/>
      <c r="M17" s="114" t="s">
        <v>331</v>
      </c>
      <c r="N17" s="112"/>
      <c r="O17" s="112"/>
      <c r="P17" s="113"/>
    </row>
    <row r="18" spans="3:16" ht="15.75" x14ac:dyDescent="0.25">
      <c r="C18" s="42">
        <v>150</v>
      </c>
      <c r="D18" s="190" t="s">
        <v>323</v>
      </c>
      <c r="E18" s="191"/>
      <c r="F18" s="46">
        <v>0.15</v>
      </c>
      <c r="H18" s="42">
        <v>110</v>
      </c>
      <c r="I18" s="190" t="s">
        <v>330</v>
      </c>
      <c r="J18" s="191"/>
      <c r="K18" s="22">
        <v>125</v>
      </c>
      <c r="M18" s="22">
        <v>110</v>
      </c>
      <c r="N18" s="22">
        <v>30</v>
      </c>
      <c r="O18" s="22">
        <v>125</v>
      </c>
      <c r="P18" s="22">
        <v>69</v>
      </c>
    </row>
    <row r="19" spans="3:16" ht="15.75" x14ac:dyDescent="0.25">
      <c r="C19" s="195">
        <f>C18+(C18*F18)</f>
        <v>172.5</v>
      </c>
      <c r="D19" s="196"/>
      <c r="E19" s="196"/>
      <c r="F19" s="197"/>
      <c r="H19" s="198">
        <f>(K18/H18)-1</f>
        <v>0.13636363636363646</v>
      </c>
      <c r="I19" s="199"/>
      <c r="J19" s="199"/>
      <c r="K19" s="200"/>
      <c r="M19" s="192">
        <f>AVERAGE(M18:P18)</f>
        <v>83.5</v>
      </c>
      <c r="N19" s="193"/>
      <c r="O19" s="193"/>
      <c r="P19" s="194"/>
    </row>
  </sheetData>
  <mergeCells count="36">
    <mergeCell ref="M19:P19"/>
    <mergeCell ref="M13:P13"/>
    <mergeCell ref="N14:O14"/>
    <mergeCell ref="M15:P15"/>
    <mergeCell ref="C17:F17"/>
    <mergeCell ref="D18:E18"/>
    <mergeCell ref="C19:F19"/>
    <mergeCell ref="H17:K17"/>
    <mergeCell ref="I18:J18"/>
    <mergeCell ref="H19:K19"/>
    <mergeCell ref="M17:P17"/>
    <mergeCell ref="C13:F13"/>
    <mergeCell ref="D14:E14"/>
    <mergeCell ref="C15:F15"/>
    <mergeCell ref="H13:K13"/>
    <mergeCell ref="I14:J14"/>
    <mergeCell ref="H15:K15"/>
    <mergeCell ref="D10:E10"/>
    <mergeCell ref="I10:J10"/>
    <mergeCell ref="N10:O10"/>
    <mergeCell ref="C11:F11"/>
    <mergeCell ref="H11:K11"/>
    <mergeCell ref="M11:P11"/>
    <mergeCell ref="M7:P7"/>
    <mergeCell ref="H7:K7"/>
    <mergeCell ref="C7:F7"/>
    <mergeCell ref="C9:F9"/>
    <mergeCell ref="H9:K9"/>
    <mergeCell ref="M9:P9"/>
    <mergeCell ref="C2:P2"/>
    <mergeCell ref="C5:F5"/>
    <mergeCell ref="H5:K5"/>
    <mergeCell ref="M5:P5"/>
    <mergeCell ref="D6:E6"/>
    <mergeCell ref="I6:J6"/>
    <mergeCell ref="N6:O6"/>
  </mergeCells>
  <pageMargins left="0.511811024" right="0.511811024" top="0.78740157499999996" bottom="0.78740157499999996" header="0.31496062000000002" footer="0.31496062000000002"/>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0A9A5-F704-4CDA-9B21-D713376ECA9B}">
  <sheetPr>
    <tabColor theme="4" tint="-0.249977111117893"/>
  </sheetPr>
  <dimension ref="B2:Q2"/>
  <sheetViews>
    <sheetView workbookViewId="0">
      <selection activeCell="B2" sqref="B2:Q2"/>
    </sheetView>
  </sheetViews>
  <sheetFormatPr defaultRowHeight="15" x14ac:dyDescent="0.25"/>
  <cols>
    <col min="1" max="1" width="12.140625" style="1" customWidth="1"/>
    <col min="2" max="4" width="10.7109375" style="1" customWidth="1"/>
    <col min="5" max="16384" width="9.140625" style="1"/>
  </cols>
  <sheetData>
    <row r="2" spans="2:17" ht="32.25" x14ac:dyDescent="0.25">
      <c r="B2" s="70" t="s">
        <v>22</v>
      </c>
      <c r="C2" s="70"/>
      <c r="D2" s="70"/>
      <c r="E2" s="70"/>
      <c r="F2" s="70"/>
      <c r="G2" s="70"/>
      <c r="H2" s="70"/>
      <c r="I2" s="70"/>
      <c r="J2" s="70"/>
      <c r="K2" s="70"/>
      <c r="L2" s="70"/>
      <c r="M2" s="70"/>
      <c r="N2" s="70"/>
      <c r="O2" s="70"/>
      <c r="P2" s="70"/>
      <c r="Q2" s="70"/>
    </row>
  </sheetData>
  <mergeCells count="1">
    <mergeCell ref="B2:Q2"/>
  </mergeCells>
  <pageMargins left="0.511811024" right="0.511811024" top="0.78740157499999996" bottom="0.78740157499999996" header="0.31496062000000002" footer="0.31496062000000002"/>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D82F2-B470-41B1-8B51-A7D98A9F6D11}">
  <sheetPr>
    <tabColor theme="4" tint="-0.499984740745262"/>
  </sheetPr>
  <dimension ref="E2:O21"/>
  <sheetViews>
    <sheetView workbookViewId="0">
      <selection activeCell="E2" sqref="E2:O2"/>
    </sheetView>
  </sheetViews>
  <sheetFormatPr defaultRowHeight="15" x14ac:dyDescent="0.25"/>
  <cols>
    <col min="1" max="4" width="10.7109375" style="1" customWidth="1"/>
    <col min="5" max="16384" width="9.140625" style="1"/>
  </cols>
  <sheetData>
    <row r="2" spans="5:15" ht="32.25" x14ac:dyDescent="0.25">
      <c r="E2" s="70" t="s">
        <v>23</v>
      </c>
      <c r="F2" s="70"/>
      <c r="G2" s="70"/>
      <c r="H2" s="70"/>
      <c r="I2" s="70"/>
      <c r="J2" s="70"/>
      <c r="K2" s="70"/>
      <c r="L2" s="70"/>
      <c r="M2" s="70"/>
      <c r="N2" s="70"/>
      <c r="O2" s="70"/>
    </row>
    <row r="5" spans="5:15" ht="15.75" x14ac:dyDescent="0.25">
      <c r="G5" s="131" t="s">
        <v>211</v>
      </c>
      <c r="H5" s="131"/>
      <c r="I5" s="131"/>
      <c r="J5" s="131"/>
      <c r="K5" s="131"/>
      <c r="L5" s="131"/>
      <c r="M5" s="131"/>
    </row>
    <row r="7" spans="5:15" ht="15.75" x14ac:dyDescent="0.25">
      <c r="G7" s="204">
        <v>0.15</v>
      </c>
      <c r="H7" s="204"/>
      <c r="I7" s="204"/>
      <c r="J7" s="26" t="s">
        <v>212</v>
      </c>
      <c r="K7" s="154">
        <v>480000</v>
      </c>
      <c r="L7" s="154"/>
      <c r="M7" s="154"/>
    </row>
    <row r="8" spans="5:15" ht="15.75" x14ac:dyDescent="0.25">
      <c r="G8" s="2"/>
      <c r="H8" s="2"/>
      <c r="I8" s="2"/>
      <c r="J8" s="2"/>
      <c r="K8" s="2"/>
      <c r="L8" s="2"/>
      <c r="M8" s="2"/>
    </row>
    <row r="9" spans="5:15" ht="15.75" x14ac:dyDescent="0.25">
      <c r="G9" s="156">
        <f>G7*K7</f>
        <v>72000</v>
      </c>
      <c r="H9" s="201"/>
      <c r="I9" s="201"/>
      <c r="J9" s="201"/>
      <c r="K9" s="201"/>
      <c r="L9" s="201"/>
      <c r="M9" s="201"/>
    </row>
    <row r="11" spans="5:15" ht="15.75" x14ac:dyDescent="0.25">
      <c r="G11" s="131" t="s">
        <v>213</v>
      </c>
      <c r="H11" s="131"/>
      <c r="I11" s="131"/>
      <c r="J11" s="131"/>
      <c r="K11" s="131"/>
      <c r="L11" s="131"/>
      <c r="M11" s="131"/>
    </row>
    <row r="13" spans="5:15" ht="15.75" x14ac:dyDescent="0.25">
      <c r="G13" s="154">
        <v>20000</v>
      </c>
      <c r="H13" s="154"/>
      <c r="I13" s="154"/>
      <c r="J13" s="26" t="s">
        <v>212</v>
      </c>
      <c r="K13" s="154">
        <v>200000</v>
      </c>
      <c r="L13" s="154"/>
      <c r="M13" s="154"/>
    </row>
    <row r="14" spans="5:15" ht="15.75" x14ac:dyDescent="0.25">
      <c r="G14" s="2"/>
      <c r="H14" s="2"/>
      <c r="I14" s="2"/>
      <c r="J14" s="2"/>
      <c r="K14" s="2"/>
      <c r="L14" s="2"/>
      <c r="M14" s="2"/>
    </row>
    <row r="15" spans="5:15" ht="15.75" x14ac:dyDescent="0.25">
      <c r="G15" s="202">
        <f>G13/K13</f>
        <v>0.1</v>
      </c>
      <c r="H15" s="202"/>
      <c r="I15" s="202"/>
      <c r="J15" s="202"/>
      <c r="K15" s="202"/>
      <c r="L15" s="202"/>
      <c r="M15" s="202"/>
    </row>
    <row r="17" spans="7:13" ht="15.75" x14ac:dyDescent="0.25">
      <c r="G17" s="131" t="s">
        <v>211</v>
      </c>
      <c r="H17" s="131"/>
      <c r="I17" s="131"/>
      <c r="J17" s="131"/>
      <c r="K17" s="131"/>
      <c r="L17" s="131"/>
      <c r="M17" s="131"/>
    </row>
    <row r="19" spans="7:13" ht="15.75" x14ac:dyDescent="0.25">
      <c r="G19" s="154">
        <v>480000</v>
      </c>
      <c r="H19" s="154"/>
      <c r="I19" s="154"/>
      <c r="J19" s="26" t="s">
        <v>214</v>
      </c>
      <c r="K19" s="203">
        <v>0.2</v>
      </c>
      <c r="L19" s="203"/>
      <c r="M19" s="203"/>
    </row>
    <row r="20" spans="7:13" ht="15.75" x14ac:dyDescent="0.25">
      <c r="G20" s="2"/>
      <c r="H20" s="2"/>
      <c r="I20" s="2"/>
      <c r="J20" s="2"/>
      <c r="K20" s="2"/>
      <c r="L20" s="2"/>
      <c r="M20" s="2"/>
    </row>
    <row r="21" spans="7:13" ht="15.75" x14ac:dyDescent="0.25">
      <c r="G21" s="156">
        <f>G19-(K19*G19)</f>
        <v>384000</v>
      </c>
      <c r="H21" s="201"/>
      <c r="I21" s="201"/>
      <c r="J21" s="201"/>
      <c r="K21" s="201"/>
      <c r="L21" s="201"/>
      <c r="M21" s="201"/>
    </row>
  </sheetData>
  <mergeCells count="13">
    <mergeCell ref="G11:M11"/>
    <mergeCell ref="E2:O2"/>
    <mergeCell ref="G7:I7"/>
    <mergeCell ref="K7:M7"/>
    <mergeCell ref="G5:M5"/>
    <mergeCell ref="G9:M9"/>
    <mergeCell ref="G21:M21"/>
    <mergeCell ref="G13:I13"/>
    <mergeCell ref="K13:M13"/>
    <mergeCell ref="G15:M15"/>
    <mergeCell ref="G17:M17"/>
    <mergeCell ref="G19:I19"/>
    <mergeCell ref="K19:M19"/>
  </mergeCells>
  <pageMargins left="0.511811024" right="0.511811024" top="0.78740157499999996" bottom="0.78740157499999996" header="0.31496062000000002" footer="0.31496062000000002"/>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E3C91-1684-4A7B-8807-E5B1049750C8}">
  <sheetPr>
    <tabColor theme="4" tint="-0.249977111117893"/>
  </sheetPr>
  <dimension ref="C2:P20"/>
  <sheetViews>
    <sheetView workbookViewId="0">
      <selection activeCell="C2" sqref="C2:P2"/>
    </sheetView>
  </sheetViews>
  <sheetFormatPr defaultRowHeight="15" x14ac:dyDescent="0.25"/>
  <cols>
    <col min="1" max="2" width="11.42578125" style="1" customWidth="1"/>
    <col min="3" max="4" width="10.7109375" style="1" customWidth="1"/>
    <col min="5" max="16384" width="9.140625" style="1"/>
  </cols>
  <sheetData>
    <row r="2" spans="3:16" ht="32.25" x14ac:dyDescent="0.25">
      <c r="C2" s="70" t="s">
        <v>312</v>
      </c>
      <c r="D2" s="70"/>
      <c r="E2" s="70"/>
      <c r="F2" s="70"/>
      <c r="G2" s="70"/>
      <c r="H2" s="70"/>
      <c r="I2" s="70"/>
      <c r="J2" s="70"/>
      <c r="K2" s="70"/>
      <c r="L2" s="70"/>
      <c r="M2" s="70"/>
      <c r="N2" s="70"/>
      <c r="O2" s="70"/>
      <c r="P2" s="70"/>
    </row>
    <row r="5" spans="3:16" ht="15.75" x14ac:dyDescent="0.25">
      <c r="C5" s="268" t="s">
        <v>335</v>
      </c>
      <c r="D5" s="268"/>
      <c r="E5" s="268"/>
      <c r="F5" s="268"/>
      <c r="G5" s="268"/>
      <c r="H5" s="268"/>
      <c r="J5" s="268" t="s">
        <v>505</v>
      </c>
      <c r="K5" s="268"/>
      <c r="L5" s="268"/>
      <c r="M5" s="268"/>
      <c r="N5" s="268"/>
      <c r="O5" s="268"/>
      <c r="P5" s="268"/>
    </row>
    <row r="6" spans="3:16" ht="15.75" x14ac:dyDescent="0.25">
      <c r="C6" s="79" t="s">
        <v>391</v>
      </c>
      <c r="D6" s="79"/>
      <c r="E6" s="79"/>
      <c r="F6" s="100">
        <v>100000</v>
      </c>
      <c r="G6" s="100"/>
      <c r="H6" s="100"/>
      <c r="J6" s="79" t="s">
        <v>506</v>
      </c>
      <c r="K6" s="79"/>
      <c r="L6" s="79"/>
      <c r="M6" s="79"/>
      <c r="N6" s="276">
        <f>AVERAGE(F9:H10)</f>
        <v>7.1050000000000002E-2</v>
      </c>
      <c r="O6" s="90"/>
      <c r="P6" s="90"/>
    </row>
    <row r="7" spans="3:16" ht="15.75" x14ac:dyDescent="0.25">
      <c r="C7" s="79" t="s">
        <v>519</v>
      </c>
      <c r="D7" s="79"/>
      <c r="E7" s="79"/>
      <c r="F7" s="104">
        <v>8.9700000000000002E-2</v>
      </c>
      <c r="G7" s="104"/>
      <c r="H7" s="104"/>
      <c r="J7" s="79" t="s">
        <v>507</v>
      </c>
      <c r="K7" s="79"/>
      <c r="L7" s="79"/>
      <c r="M7" s="79"/>
      <c r="N7" s="90">
        <v>8</v>
      </c>
      <c r="O7" s="90"/>
      <c r="P7" s="90"/>
    </row>
    <row r="8" spans="3:16" ht="15.75" x14ac:dyDescent="0.25">
      <c r="C8" s="79" t="s">
        <v>520</v>
      </c>
      <c r="D8" s="79"/>
      <c r="E8" s="79"/>
      <c r="F8" s="103">
        <v>1.1499999999999999</v>
      </c>
      <c r="G8" s="103"/>
      <c r="H8" s="103"/>
      <c r="J8" s="79" t="s">
        <v>508</v>
      </c>
      <c r="K8" s="79"/>
      <c r="L8" s="79"/>
      <c r="M8" s="79"/>
      <c r="N8" s="90">
        <f>N7*F11</f>
        <v>24</v>
      </c>
      <c r="O8" s="90"/>
      <c r="P8" s="90"/>
    </row>
    <row r="9" spans="3:16" ht="15.75" x14ac:dyDescent="0.25">
      <c r="C9" s="79" t="s">
        <v>502</v>
      </c>
      <c r="D9" s="79"/>
      <c r="E9" s="79"/>
      <c r="F9" s="104">
        <v>6.3899999999999998E-2</v>
      </c>
      <c r="G9" s="104"/>
      <c r="H9" s="104"/>
      <c r="J9" s="79" t="s">
        <v>509</v>
      </c>
      <c r="K9" s="79"/>
      <c r="L9" s="79"/>
      <c r="M9" s="79"/>
      <c r="N9" s="89">
        <f>FV(F7,F11,,-F6)</f>
        <v>129396.00042730004</v>
      </c>
      <c r="O9" s="90"/>
      <c r="P9" s="90"/>
    </row>
    <row r="10" spans="3:16" ht="15.75" x14ac:dyDescent="0.25">
      <c r="C10" s="79" t="s">
        <v>503</v>
      </c>
      <c r="D10" s="79"/>
      <c r="E10" s="79"/>
      <c r="F10" s="104">
        <v>7.8200000000000006E-2</v>
      </c>
      <c r="G10" s="104"/>
      <c r="H10" s="104"/>
      <c r="J10" s="79" t="s">
        <v>510</v>
      </c>
      <c r="K10" s="79"/>
      <c r="L10" s="79"/>
      <c r="M10" s="79"/>
      <c r="N10" s="89">
        <f>FV((F8*N6),F11,,-F6)</f>
        <v>126569.63353805624</v>
      </c>
      <c r="O10" s="90"/>
      <c r="P10" s="90"/>
    </row>
    <row r="11" spans="3:16" ht="15.75" x14ac:dyDescent="0.25">
      <c r="C11" s="79" t="s">
        <v>504</v>
      </c>
      <c r="D11" s="79"/>
      <c r="E11" s="79"/>
      <c r="F11" s="96">
        <v>3</v>
      </c>
      <c r="G11" s="96"/>
      <c r="H11" s="96"/>
      <c r="J11" s="79" t="s">
        <v>511</v>
      </c>
      <c r="K11" s="79"/>
      <c r="L11" s="79"/>
      <c r="M11" s="79"/>
      <c r="N11" s="89">
        <f>N9-$F$6</f>
        <v>29396.000427300038</v>
      </c>
      <c r="O11" s="90"/>
      <c r="P11" s="90"/>
    </row>
    <row r="12" spans="3:16" ht="15.75" x14ac:dyDescent="0.25">
      <c r="C12" s="79" t="s">
        <v>396</v>
      </c>
      <c r="D12" s="79"/>
      <c r="E12" s="79"/>
      <c r="F12" s="269" t="s">
        <v>405</v>
      </c>
      <c r="G12" s="270"/>
      <c r="H12" s="271"/>
      <c r="J12" s="79" t="s">
        <v>512</v>
      </c>
      <c r="K12" s="79"/>
      <c r="L12" s="79"/>
      <c r="M12" s="79"/>
      <c r="N12" s="89">
        <f>N10-$F$6</f>
        <v>26569.633538056238</v>
      </c>
      <c r="O12" s="90"/>
      <c r="P12" s="90"/>
    </row>
    <row r="13" spans="3:16" ht="15.75" x14ac:dyDescent="0.25">
      <c r="C13" s="79" t="s">
        <v>181</v>
      </c>
      <c r="D13" s="79"/>
      <c r="E13" s="79"/>
      <c r="F13" s="273">
        <v>0.15</v>
      </c>
      <c r="G13" s="274"/>
      <c r="H13" s="275"/>
      <c r="J13" s="79" t="s">
        <v>513</v>
      </c>
      <c r="K13" s="79"/>
      <c r="L13" s="79"/>
      <c r="M13" s="79"/>
      <c r="N13" s="89">
        <f>N11*(1-$F$13)</f>
        <v>24986.600363205031</v>
      </c>
      <c r="O13" s="90"/>
      <c r="P13" s="90"/>
    </row>
    <row r="14" spans="3:16" ht="15.75" x14ac:dyDescent="0.25">
      <c r="J14" s="79" t="s">
        <v>514</v>
      </c>
      <c r="K14" s="79"/>
      <c r="L14" s="79"/>
      <c r="M14" s="79"/>
      <c r="N14" s="89">
        <f>N12*(1-$F$13)</f>
        <v>22584.188507347801</v>
      </c>
      <c r="O14" s="90"/>
      <c r="P14" s="90"/>
    </row>
    <row r="15" spans="3:16" ht="15.75" customHeight="1" x14ac:dyDescent="0.25">
      <c r="C15" s="277" t="s">
        <v>521</v>
      </c>
      <c r="D15" s="277"/>
      <c r="E15" s="277"/>
      <c r="F15" s="277"/>
      <c r="G15" s="277"/>
      <c r="H15" s="277"/>
    </row>
    <row r="16" spans="3:16" ht="15.75" x14ac:dyDescent="0.25">
      <c r="C16" s="277"/>
      <c r="D16" s="277"/>
      <c r="E16" s="277"/>
      <c r="F16" s="277"/>
      <c r="G16" s="277"/>
      <c r="H16" s="277"/>
      <c r="J16" s="79" t="s">
        <v>515</v>
      </c>
      <c r="K16" s="79"/>
      <c r="L16" s="79"/>
      <c r="M16" s="79"/>
      <c r="N16" s="89">
        <f>N13+$F$6</f>
        <v>124986.60036320503</v>
      </c>
      <c r="O16" s="90"/>
      <c r="P16" s="90"/>
    </row>
    <row r="17" spans="3:16" ht="15.75" x14ac:dyDescent="0.25">
      <c r="C17" s="277"/>
      <c r="D17" s="277"/>
      <c r="E17" s="277"/>
      <c r="F17" s="277"/>
      <c r="G17" s="277"/>
      <c r="H17" s="277"/>
      <c r="J17" s="79" t="s">
        <v>516</v>
      </c>
      <c r="K17" s="79"/>
      <c r="L17" s="79"/>
      <c r="M17" s="79"/>
      <c r="N17" s="89">
        <f>N14+$F$6</f>
        <v>122584.1885073478</v>
      </c>
      <c r="O17" s="90"/>
      <c r="P17" s="90"/>
    </row>
    <row r="18" spans="3:16" x14ac:dyDescent="0.25">
      <c r="C18" s="277"/>
      <c r="D18" s="277"/>
      <c r="E18" s="277"/>
      <c r="F18" s="277"/>
      <c r="G18" s="277"/>
      <c r="H18" s="277"/>
    </row>
    <row r="19" spans="3:16" ht="15.75" x14ac:dyDescent="0.25">
      <c r="C19" s="277"/>
      <c r="D19" s="277"/>
      <c r="E19" s="277"/>
      <c r="F19" s="277"/>
      <c r="G19" s="277"/>
      <c r="H19" s="277"/>
      <c r="J19" s="79" t="s">
        <v>517</v>
      </c>
      <c r="K19" s="79"/>
      <c r="L19" s="79"/>
      <c r="M19" s="79"/>
      <c r="N19" s="89">
        <f>N11-N12</f>
        <v>2826.3668892438</v>
      </c>
      <c r="O19" s="90"/>
      <c r="P19" s="90"/>
    </row>
    <row r="20" spans="3:16" ht="15.75" x14ac:dyDescent="0.25">
      <c r="C20" s="277"/>
      <c r="D20" s="277"/>
      <c r="E20" s="277"/>
      <c r="F20" s="277"/>
      <c r="G20" s="277"/>
      <c r="H20" s="277"/>
      <c r="J20" s="79" t="s">
        <v>518</v>
      </c>
      <c r="K20" s="79"/>
      <c r="L20" s="79"/>
      <c r="M20" s="79"/>
      <c r="N20" s="89">
        <f>N13-N14</f>
        <v>2402.41185585723</v>
      </c>
      <c r="O20" s="90"/>
      <c r="P20" s="90"/>
    </row>
  </sheetData>
  <mergeCells count="46">
    <mergeCell ref="C15:H20"/>
    <mergeCell ref="C2:P2"/>
    <mergeCell ref="N17:P17"/>
    <mergeCell ref="N19:P19"/>
    <mergeCell ref="N20:P20"/>
    <mergeCell ref="J20:M20"/>
    <mergeCell ref="J19:M19"/>
    <mergeCell ref="J17:M17"/>
    <mergeCell ref="J16:M16"/>
    <mergeCell ref="N7:P7"/>
    <mergeCell ref="J5:P5"/>
    <mergeCell ref="N6:P6"/>
    <mergeCell ref="N8:P8"/>
    <mergeCell ref="N9:P9"/>
    <mergeCell ref="N10:P10"/>
    <mergeCell ref="N11:P11"/>
    <mergeCell ref="N12:P12"/>
    <mergeCell ref="N13:P13"/>
    <mergeCell ref="N14:P14"/>
    <mergeCell ref="N16:P16"/>
    <mergeCell ref="J13:M13"/>
    <mergeCell ref="J14:M14"/>
    <mergeCell ref="J6:M6"/>
    <mergeCell ref="J7:M7"/>
    <mergeCell ref="J8:M8"/>
    <mergeCell ref="J9:M9"/>
    <mergeCell ref="J10:M10"/>
    <mergeCell ref="J12:M12"/>
    <mergeCell ref="J11:M11"/>
    <mergeCell ref="C13:E13"/>
    <mergeCell ref="C12:E12"/>
    <mergeCell ref="C11:E11"/>
    <mergeCell ref="F6:H6"/>
    <mergeCell ref="F7:H7"/>
    <mergeCell ref="F8:H8"/>
    <mergeCell ref="F9:H9"/>
    <mergeCell ref="F10:H10"/>
    <mergeCell ref="F11:H11"/>
    <mergeCell ref="F12:H12"/>
    <mergeCell ref="F13:H13"/>
    <mergeCell ref="C10:E10"/>
    <mergeCell ref="C6:E6"/>
    <mergeCell ref="C7:E7"/>
    <mergeCell ref="C8:E8"/>
    <mergeCell ref="C9:E9"/>
    <mergeCell ref="C5:H5"/>
  </mergeCells>
  <conditionalFormatting sqref="F12">
    <cfRule type="cellIs" dxfId="1" priority="1" operator="equal">
      <formula>"Sim"</formula>
    </cfRule>
    <cfRule type="cellIs" dxfId="0" priority="2" operator="equal">
      <formula>"Não"</formula>
    </cfRule>
  </conditionalFormatting>
  <dataValidations count="2">
    <dataValidation type="list" allowBlank="1" showInputMessage="1" showErrorMessage="1" sqref="F12" xr:uid="{62C6D5ED-16BC-4156-9597-F2B9DE1A4DB5}">
      <formula1>"Sim, Não"</formula1>
    </dataValidation>
    <dataValidation type="list" allowBlank="1" showInputMessage="1" showErrorMessage="1" sqref="F13" xr:uid="{AD9BA4D7-8552-4D73-8B23-D8F6243535B8}">
      <mc:AlternateContent xmlns:x12ac="http://schemas.microsoft.com/office/spreadsheetml/2011/1/ac" xmlns:mc="http://schemas.openxmlformats.org/markup-compatibility/2006">
        <mc:Choice Requires="x12ac">
          <x12ac:list>"22,50%"," 20,00%"," 17,50%"," 15,00%"</x12ac:list>
        </mc:Choice>
        <mc:Fallback>
          <formula1>"22,50%, 20,00%, 17,50%, 15,00%"</formula1>
        </mc:Fallback>
      </mc:AlternateContent>
    </dataValidation>
  </dataValidations>
  <hyperlinks>
    <hyperlink ref="C10:E10" r:id="rId1" display="CDI Projetado para o Período" xr:uid="{31BDD1B0-E9F6-48BB-9D20-860EC08ECF21}"/>
  </hyperlinks>
  <pageMargins left="0.511811024" right="0.511811024" top="0.78740157499999996" bottom="0.78740157499999996" header="0.31496062000000002" footer="0.31496062000000002"/>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3ED26-45B6-4B2C-BF0C-2B854176F5B5}">
  <sheetPr>
    <tabColor theme="4" tint="-0.499984740745262"/>
  </sheetPr>
  <dimension ref="F2:Q17"/>
  <sheetViews>
    <sheetView workbookViewId="0">
      <selection activeCell="F2" sqref="F2:M2"/>
    </sheetView>
  </sheetViews>
  <sheetFormatPr defaultRowHeight="15" x14ac:dyDescent="0.25"/>
  <cols>
    <col min="1" max="6" width="10.7109375" style="1" customWidth="1"/>
    <col min="7" max="16384" width="9.140625" style="1"/>
  </cols>
  <sheetData>
    <row r="2" spans="6:17" ht="32.25" x14ac:dyDescent="0.25">
      <c r="F2" s="70" t="s">
        <v>25</v>
      </c>
      <c r="G2" s="70"/>
      <c r="H2" s="70"/>
      <c r="I2" s="70"/>
      <c r="J2" s="70"/>
      <c r="K2" s="70"/>
      <c r="L2" s="70"/>
      <c r="M2" s="70"/>
      <c r="N2" s="10"/>
      <c r="O2" s="10"/>
      <c r="P2" s="10"/>
      <c r="Q2" s="10"/>
    </row>
    <row r="5" spans="6:17" ht="15.75" x14ac:dyDescent="0.25">
      <c r="I5" s="207" t="s">
        <v>168</v>
      </c>
      <c r="J5" s="207"/>
      <c r="K5" s="207"/>
      <c r="L5" s="208" t="s">
        <v>169</v>
      </c>
      <c r="M5" s="208"/>
    </row>
    <row r="6" spans="6:17" ht="15.75" x14ac:dyDescent="0.25">
      <c r="F6" s="79" t="s">
        <v>165</v>
      </c>
      <c r="G6" s="79"/>
      <c r="H6" s="79"/>
      <c r="I6" s="206">
        <v>185000</v>
      </c>
      <c r="J6" s="206"/>
      <c r="K6" s="206"/>
      <c r="L6" s="103">
        <f>I6/I6</f>
        <v>1</v>
      </c>
      <c r="M6" s="103"/>
    </row>
    <row r="7" spans="6:17" ht="15.75" x14ac:dyDescent="0.25">
      <c r="F7" s="79" t="s">
        <v>166</v>
      </c>
      <c r="G7" s="79"/>
      <c r="H7" s="79"/>
      <c r="I7" s="206">
        <v>170000</v>
      </c>
      <c r="J7" s="206"/>
      <c r="K7" s="206"/>
      <c r="L7" s="104">
        <f>I7/I6</f>
        <v>0.91891891891891897</v>
      </c>
      <c r="M7" s="104"/>
    </row>
    <row r="9" spans="6:17" ht="15.75" x14ac:dyDescent="0.25">
      <c r="F9" s="179" t="s">
        <v>143</v>
      </c>
      <c r="G9" s="179"/>
      <c r="H9" s="180"/>
      <c r="I9" s="175">
        <f>I6-I7</f>
        <v>15000</v>
      </c>
      <c r="J9" s="205"/>
      <c r="K9" s="205"/>
      <c r="L9" s="183">
        <f>I9/I6</f>
        <v>8.1081081081081086E-2</v>
      </c>
      <c r="M9" s="183"/>
    </row>
    <row r="12" spans="6:17" ht="15.75" x14ac:dyDescent="0.25">
      <c r="F12" s="79" t="s">
        <v>167</v>
      </c>
      <c r="G12" s="79"/>
      <c r="H12" s="79"/>
      <c r="I12" s="206">
        <v>3000</v>
      </c>
      <c r="J12" s="206"/>
      <c r="K12" s="206"/>
    </row>
    <row r="15" spans="6:17" ht="15.75" x14ac:dyDescent="0.25">
      <c r="F15" s="179" t="s">
        <v>171</v>
      </c>
      <c r="G15" s="179"/>
      <c r="H15" s="180"/>
      <c r="I15" s="175">
        <f>L7*I12</f>
        <v>2756.7567567567571</v>
      </c>
      <c r="J15" s="205"/>
      <c r="K15" s="205"/>
    </row>
    <row r="16" spans="6:17" ht="15.75" x14ac:dyDescent="0.25">
      <c r="F16" s="179" t="s">
        <v>172</v>
      </c>
      <c r="G16" s="179"/>
      <c r="H16" s="180"/>
      <c r="I16" s="175">
        <f>I12*L9</f>
        <v>243.24324324324326</v>
      </c>
      <c r="J16" s="205"/>
      <c r="K16" s="205"/>
    </row>
    <row r="17" spans="6:11" ht="15.75" x14ac:dyDescent="0.25">
      <c r="F17" s="179" t="s">
        <v>170</v>
      </c>
      <c r="G17" s="179"/>
      <c r="H17" s="180"/>
      <c r="I17" s="175">
        <f>I16</f>
        <v>243.24324324324326</v>
      </c>
      <c r="J17" s="205"/>
      <c r="K17" s="205"/>
    </row>
  </sheetData>
  <mergeCells count="20">
    <mergeCell ref="F7:H7"/>
    <mergeCell ref="F2:M2"/>
    <mergeCell ref="I12:K12"/>
    <mergeCell ref="I7:K7"/>
    <mergeCell ref="I6:K6"/>
    <mergeCell ref="F6:H6"/>
    <mergeCell ref="I5:K5"/>
    <mergeCell ref="L5:M5"/>
    <mergeCell ref="L6:M6"/>
    <mergeCell ref="L7:M7"/>
    <mergeCell ref="L9:M9"/>
    <mergeCell ref="F17:H17"/>
    <mergeCell ref="I17:K17"/>
    <mergeCell ref="F9:H9"/>
    <mergeCell ref="I9:K9"/>
    <mergeCell ref="F16:H16"/>
    <mergeCell ref="I15:K15"/>
    <mergeCell ref="I16:K16"/>
    <mergeCell ref="F12:H12"/>
    <mergeCell ref="F15:H15"/>
  </mergeCells>
  <pageMargins left="0.511811024" right="0.511811024" top="0.78740157499999996" bottom="0.78740157499999996" header="0.31496062000000002" footer="0.31496062000000002"/>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FDC3E-D9E3-4AB8-91FB-8D2D91F3FE66}">
  <sheetPr>
    <tabColor theme="4" tint="-0.249977111117893"/>
  </sheetPr>
  <dimension ref="D2:N21"/>
  <sheetViews>
    <sheetView workbookViewId="0">
      <selection activeCell="D2" sqref="D2:N2"/>
    </sheetView>
  </sheetViews>
  <sheetFormatPr defaultRowHeight="15" x14ac:dyDescent="0.25"/>
  <cols>
    <col min="1" max="3" width="10.7109375" style="1" customWidth="1"/>
    <col min="4" max="6" width="13.5703125" style="1" customWidth="1"/>
    <col min="7" max="8" width="9.140625" style="1"/>
    <col min="9" max="9" width="7.85546875" style="1" customWidth="1"/>
    <col min="10" max="12" width="13.5703125" style="1" customWidth="1"/>
    <col min="13" max="16384" width="9.140625" style="1"/>
  </cols>
  <sheetData>
    <row r="2" spans="4:14" ht="32.25" x14ac:dyDescent="0.25">
      <c r="D2" s="70" t="s">
        <v>352</v>
      </c>
      <c r="E2" s="70"/>
      <c r="F2" s="70"/>
      <c r="G2" s="70"/>
      <c r="H2" s="70"/>
      <c r="I2" s="70"/>
      <c r="J2" s="70"/>
      <c r="K2" s="70"/>
      <c r="L2" s="70"/>
      <c r="M2" s="70"/>
      <c r="N2" s="70"/>
    </row>
    <row r="5" spans="4:14" ht="19.5" x14ac:dyDescent="0.25">
      <c r="D5" s="214" t="s">
        <v>353</v>
      </c>
      <c r="E5" s="214"/>
      <c r="F5" s="214"/>
      <c r="G5" s="214"/>
      <c r="H5" s="214"/>
      <c r="J5" s="214" t="s">
        <v>357</v>
      </c>
      <c r="K5" s="214"/>
      <c r="L5" s="214"/>
      <c r="M5" s="214"/>
      <c r="N5" s="214"/>
    </row>
    <row r="7" spans="4:14" ht="15.75" x14ac:dyDescent="0.25">
      <c r="D7" s="79" t="s">
        <v>354</v>
      </c>
      <c r="E7" s="79"/>
      <c r="F7" s="79"/>
      <c r="G7" s="100">
        <v>1000</v>
      </c>
      <c r="H7" s="100"/>
      <c r="J7" s="79" t="s">
        <v>354</v>
      </c>
      <c r="K7" s="79"/>
      <c r="L7" s="79"/>
      <c r="M7" s="100">
        <v>1000</v>
      </c>
      <c r="N7" s="100"/>
    </row>
    <row r="8" spans="4:14" ht="15.75" x14ac:dyDescent="0.25">
      <c r="D8" s="79" t="s">
        <v>355</v>
      </c>
      <c r="E8" s="79"/>
      <c r="F8" s="79"/>
      <c r="G8" s="215">
        <v>695</v>
      </c>
      <c r="H8" s="215"/>
      <c r="J8" s="79" t="s">
        <v>358</v>
      </c>
      <c r="K8" s="79"/>
      <c r="L8" s="79"/>
      <c r="M8" s="215">
        <v>252</v>
      </c>
      <c r="N8" s="215"/>
    </row>
    <row r="9" spans="4:14" ht="15.75" x14ac:dyDescent="0.25">
      <c r="D9" s="79" t="s">
        <v>356</v>
      </c>
      <c r="E9" s="79"/>
      <c r="F9" s="79"/>
      <c r="G9" s="183">
        <v>8.0500000000000002E-2</v>
      </c>
      <c r="H9" s="183"/>
      <c r="J9" s="79" t="s">
        <v>359</v>
      </c>
      <c r="K9" s="79"/>
      <c r="L9" s="79"/>
      <c r="M9" s="183">
        <v>0.13500000000000001</v>
      </c>
      <c r="N9" s="183"/>
    </row>
    <row r="10" spans="4:14" ht="15.75" x14ac:dyDescent="0.25">
      <c r="D10" s="79" t="s">
        <v>364</v>
      </c>
      <c r="E10" s="79"/>
      <c r="F10" s="79"/>
      <c r="G10" s="213">
        <f>((G9+1)^(1/252))-1</f>
        <v>3.0728488870024329E-4</v>
      </c>
      <c r="H10" s="213"/>
      <c r="J10" s="79" t="s">
        <v>365</v>
      </c>
      <c r="K10" s="79"/>
      <c r="L10" s="79"/>
      <c r="M10" s="213">
        <f>((M9+1)^(1/252))-1</f>
        <v>5.0263679913942205E-4</v>
      </c>
      <c r="N10" s="213"/>
    </row>
    <row r="12" spans="4:14" ht="15.75" x14ac:dyDescent="0.25">
      <c r="D12" s="75" t="s">
        <v>353</v>
      </c>
      <c r="E12" s="75"/>
      <c r="F12" s="75"/>
      <c r="G12" s="212">
        <f>PV(G10,G8,,G7)*-1</f>
        <v>807.72777284452309</v>
      </c>
      <c r="H12" s="212"/>
      <c r="J12" s="75" t="s">
        <v>357</v>
      </c>
      <c r="K12" s="75"/>
      <c r="L12" s="75"/>
      <c r="M12" s="212">
        <f>PV(M10,M8,,M7)*-1</f>
        <v>881.05726872245305</v>
      </c>
      <c r="N12" s="212"/>
    </row>
    <row r="14" spans="4:14" ht="15.75" x14ac:dyDescent="0.25">
      <c r="D14" s="75" t="s">
        <v>360</v>
      </c>
      <c r="E14" s="75"/>
      <c r="F14" s="75"/>
      <c r="G14" s="75"/>
      <c r="H14" s="75"/>
      <c r="I14" s="75"/>
      <c r="J14" s="93">
        <f>(M12/G12)-1</f>
        <v>9.0784913362196518E-2</v>
      </c>
      <c r="K14" s="93"/>
      <c r="L14" s="93"/>
      <c r="M14" s="93"/>
      <c r="N14" s="93"/>
    </row>
    <row r="16" spans="4:14" ht="19.5" x14ac:dyDescent="0.25">
      <c r="D16" s="209" t="s">
        <v>361</v>
      </c>
      <c r="E16" s="209"/>
      <c r="F16" s="209"/>
      <c r="G16" s="209"/>
      <c r="H16" s="209"/>
      <c r="I16" s="209"/>
      <c r="J16" s="209"/>
      <c r="K16" s="209"/>
      <c r="L16" s="209"/>
      <c r="M16" s="209"/>
      <c r="N16" s="209"/>
    </row>
    <row r="17" spans="4:14" ht="15" customHeight="1" x14ac:dyDescent="0.25">
      <c r="D17" s="47"/>
      <c r="E17" s="47"/>
      <c r="F17" s="47"/>
      <c r="G17" s="47"/>
      <c r="H17" s="47"/>
      <c r="I17" s="47"/>
      <c r="J17" s="47"/>
      <c r="K17" s="47"/>
      <c r="L17" s="47"/>
      <c r="M17" s="47"/>
      <c r="N17" s="47"/>
    </row>
    <row r="18" spans="4:14" ht="15.75" x14ac:dyDescent="0.25">
      <c r="G18" s="79" t="s">
        <v>64</v>
      </c>
      <c r="H18" s="79"/>
      <c r="I18" s="210">
        <v>43227</v>
      </c>
      <c r="J18" s="96"/>
    </row>
    <row r="19" spans="4:14" ht="15.75" x14ac:dyDescent="0.25">
      <c r="G19" s="79" t="s">
        <v>362</v>
      </c>
      <c r="H19" s="79"/>
      <c r="I19" s="210">
        <v>44197</v>
      </c>
      <c r="J19" s="96"/>
    </row>
    <row r="21" spans="4:14" ht="15.75" x14ac:dyDescent="0.25">
      <c r="G21" s="75" t="s">
        <v>363</v>
      </c>
      <c r="H21" s="75"/>
      <c r="I21" s="211">
        <f>NETWORKDAYS(I18,I19,0)</f>
        <v>695</v>
      </c>
      <c r="J21" s="211"/>
    </row>
  </sheetData>
  <mergeCells count="32">
    <mergeCell ref="D2:N2"/>
    <mergeCell ref="D8:F8"/>
    <mergeCell ref="D9:F9"/>
    <mergeCell ref="D7:F7"/>
    <mergeCell ref="G7:H7"/>
    <mergeCell ref="D5:H5"/>
    <mergeCell ref="G9:H9"/>
    <mergeCell ref="G8:H8"/>
    <mergeCell ref="D12:F12"/>
    <mergeCell ref="G12:H12"/>
    <mergeCell ref="D10:F10"/>
    <mergeCell ref="G10:H10"/>
    <mergeCell ref="J5:N5"/>
    <mergeCell ref="J7:L7"/>
    <mergeCell ref="M7:N7"/>
    <mergeCell ref="J8:L8"/>
    <mergeCell ref="M8:N8"/>
    <mergeCell ref="J9:L9"/>
    <mergeCell ref="M9:N9"/>
    <mergeCell ref="J10:L10"/>
    <mergeCell ref="M10:N10"/>
    <mergeCell ref="J12:L12"/>
    <mergeCell ref="M12:N12"/>
    <mergeCell ref="D14:I14"/>
    <mergeCell ref="J14:N14"/>
    <mergeCell ref="D16:N16"/>
    <mergeCell ref="G21:H21"/>
    <mergeCell ref="G19:H19"/>
    <mergeCell ref="G18:H18"/>
    <mergeCell ref="I18:J18"/>
    <mergeCell ref="I19:J19"/>
    <mergeCell ref="I21:J21"/>
  </mergeCell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BFA0D-AC93-4204-9F28-E254DE6F8CFD}">
  <sheetPr>
    <tabColor theme="4" tint="-0.499984740745262"/>
  </sheetPr>
  <dimension ref="C2:M31"/>
  <sheetViews>
    <sheetView workbookViewId="0">
      <selection activeCell="C2" sqref="C2:K2"/>
    </sheetView>
  </sheetViews>
  <sheetFormatPr defaultRowHeight="15" x14ac:dyDescent="0.25"/>
  <cols>
    <col min="1" max="2" width="9.28515625" style="1" customWidth="1"/>
    <col min="3" max="3" width="11.140625" style="1" bestFit="1" customWidth="1"/>
    <col min="4" max="4" width="11.85546875" style="1" bestFit="1" customWidth="1"/>
    <col min="5" max="5" width="11.140625" style="1" bestFit="1" customWidth="1"/>
    <col min="6" max="6" width="11.85546875" style="1" bestFit="1" customWidth="1"/>
    <col min="7" max="7" width="11.140625" style="1" bestFit="1" customWidth="1"/>
    <col min="8" max="8" width="11.85546875" style="1" bestFit="1" customWidth="1"/>
    <col min="9" max="9" width="19" style="1" bestFit="1" customWidth="1"/>
    <col min="10" max="10" width="29.42578125" style="1" bestFit="1" customWidth="1"/>
    <col min="11" max="11" width="23.42578125" style="1" bestFit="1" customWidth="1"/>
    <col min="12" max="16384" width="9.140625" style="1"/>
  </cols>
  <sheetData>
    <row r="2" spans="3:13" ht="32.25" x14ac:dyDescent="0.25">
      <c r="C2" s="70" t="s">
        <v>27</v>
      </c>
      <c r="D2" s="70"/>
      <c r="E2" s="70"/>
      <c r="F2" s="70"/>
      <c r="G2" s="70"/>
      <c r="H2" s="70"/>
      <c r="I2" s="70"/>
      <c r="J2" s="70"/>
      <c r="K2" s="70"/>
      <c r="L2" s="10"/>
      <c r="M2" s="10"/>
    </row>
    <row r="5" spans="3:13" ht="15.75" thickBot="1" x14ac:dyDescent="0.3"/>
    <row r="6" spans="3:13" ht="37.5" customHeight="1" thickBot="1" x14ac:dyDescent="0.3">
      <c r="C6" s="225" t="s">
        <v>311</v>
      </c>
      <c r="D6" s="226"/>
      <c r="E6" s="225" t="s">
        <v>310</v>
      </c>
      <c r="F6" s="226"/>
      <c r="G6" s="225" t="s">
        <v>309</v>
      </c>
      <c r="H6" s="226"/>
      <c r="I6" s="41" t="s">
        <v>308</v>
      </c>
      <c r="J6" s="227" t="s">
        <v>307</v>
      </c>
      <c r="K6" s="228"/>
    </row>
    <row r="7" spans="3:13" ht="16.5" thickBot="1" x14ac:dyDescent="0.3">
      <c r="C7" s="36" t="s">
        <v>306</v>
      </c>
      <c r="D7" s="36" t="s">
        <v>305</v>
      </c>
      <c r="E7" s="36" t="s">
        <v>306</v>
      </c>
      <c r="F7" s="36" t="s">
        <v>305</v>
      </c>
      <c r="G7" s="36" t="s">
        <v>306</v>
      </c>
      <c r="H7" s="36" t="s">
        <v>305</v>
      </c>
      <c r="I7" s="36" t="s">
        <v>304</v>
      </c>
      <c r="J7" s="229"/>
      <c r="K7" s="230"/>
    </row>
    <row r="8" spans="3:13" ht="16.5" thickBot="1" x14ac:dyDescent="0.3">
      <c r="C8" s="40" t="s">
        <v>303</v>
      </c>
      <c r="D8" s="216" t="s">
        <v>302</v>
      </c>
      <c r="E8" s="40" t="s">
        <v>300</v>
      </c>
      <c r="F8" s="216" t="s">
        <v>301</v>
      </c>
      <c r="G8" s="40" t="s">
        <v>300</v>
      </c>
      <c r="H8" s="216" t="s">
        <v>299</v>
      </c>
      <c r="I8" s="216">
        <v>1</v>
      </c>
      <c r="J8" s="36" t="s">
        <v>298</v>
      </c>
      <c r="K8" s="219" t="s">
        <v>297</v>
      </c>
    </row>
    <row r="9" spans="3:13" ht="16.5" thickBot="1" x14ac:dyDescent="0.3">
      <c r="C9" s="40" t="s">
        <v>296</v>
      </c>
      <c r="D9" s="217"/>
      <c r="E9" s="40" t="s">
        <v>295</v>
      </c>
      <c r="F9" s="217"/>
      <c r="G9" s="40" t="s">
        <v>295</v>
      </c>
      <c r="H9" s="217"/>
      <c r="I9" s="217"/>
      <c r="J9" s="219" t="s">
        <v>294</v>
      </c>
      <c r="K9" s="220"/>
    </row>
    <row r="10" spans="3:13" ht="16.5" thickBot="1" x14ac:dyDescent="0.3">
      <c r="C10" s="40" t="s">
        <v>293</v>
      </c>
      <c r="D10" s="217"/>
      <c r="E10" s="40" t="s">
        <v>292</v>
      </c>
      <c r="F10" s="217"/>
      <c r="G10" s="40" t="s">
        <v>292</v>
      </c>
      <c r="H10" s="217"/>
      <c r="I10" s="217"/>
      <c r="J10" s="220"/>
      <c r="K10" s="220"/>
    </row>
    <row r="11" spans="3:13" ht="16.5" thickBot="1" x14ac:dyDescent="0.3">
      <c r="C11" s="40" t="s">
        <v>291</v>
      </c>
      <c r="D11" s="217"/>
      <c r="E11" s="40" t="s">
        <v>290</v>
      </c>
      <c r="F11" s="218"/>
      <c r="G11" s="40" t="s">
        <v>290</v>
      </c>
      <c r="H11" s="218"/>
      <c r="I11" s="217"/>
      <c r="J11" s="221"/>
      <c r="K11" s="220"/>
    </row>
    <row r="12" spans="3:13" ht="16.5" thickBot="1" x14ac:dyDescent="0.3">
      <c r="C12" s="40" t="s">
        <v>289</v>
      </c>
      <c r="D12" s="217"/>
      <c r="E12" s="40" t="s">
        <v>287</v>
      </c>
      <c r="F12" s="216" t="s">
        <v>288</v>
      </c>
      <c r="G12" s="40" t="s">
        <v>287</v>
      </c>
      <c r="H12" s="216" t="s">
        <v>286</v>
      </c>
      <c r="I12" s="217"/>
      <c r="J12" s="219" t="s">
        <v>285</v>
      </c>
      <c r="K12" s="220"/>
    </row>
    <row r="13" spans="3:13" ht="16.5" thickBot="1" x14ac:dyDescent="0.3">
      <c r="C13" s="40" t="s">
        <v>284</v>
      </c>
      <c r="D13" s="218"/>
      <c r="E13" s="40" t="s">
        <v>283</v>
      </c>
      <c r="F13" s="218"/>
      <c r="G13" s="40" t="s">
        <v>283</v>
      </c>
      <c r="H13" s="218"/>
      <c r="I13" s="217"/>
      <c r="J13" s="220"/>
      <c r="K13" s="220"/>
    </row>
    <row r="14" spans="3:13" ht="16.5" thickBot="1" x14ac:dyDescent="0.3">
      <c r="C14" s="40" t="s">
        <v>282</v>
      </c>
      <c r="D14" s="216" t="s">
        <v>281</v>
      </c>
      <c r="E14" s="40" t="s">
        <v>279</v>
      </c>
      <c r="F14" s="216" t="s">
        <v>280</v>
      </c>
      <c r="G14" s="40" t="s">
        <v>279</v>
      </c>
      <c r="H14" s="216" t="s">
        <v>278</v>
      </c>
      <c r="I14" s="218"/>
      <c r="J14" s="221"/>
      <c r="K14" s="220"/>
    </row>
    <row r="15" spans="3:13" ht="16.5" thickBot="1" x14ac:dyDescent="0.3">
      <c r="C15" s="40" t="s">
        <v>277</v>
      </c>
      <c r="D15" s="218"/>
      <c r="E15" s="40" t="s">
        <v>276</v>
      </c>
      <c r="F15" s="218"/>
      <c r="G15" s="40" t="s">
        <v>276</v>
      </c>
      <c r="H15" s="218"/>
      <c r="I15" s="216">
        <v>2</v>
      </c>
      <c r="J15" s="219" t="s">
        <v>275</v>
      </c>
      <c r="K15" s="220"/>
    </row>
    <row r="16" spans="3:13" ht="16.5" thickBot="1" x14ac:dyDescent="0.3">
      <c r="C16" s="40" t="s">
        <v>274</v>
      </c>
      <c r="D16" s="216" t="s">
        <v>273</v>
      </c>
      <c r="E16" s="40" t="s">
        <v>271</v>
      </c>
      <c r="F16" s="216" t="s">
        <v>272</v>
      </c>
      <c r="G16" s="40" t="s">
        <v>271</v>
      </c>
      <c r="H16" s="216" t="s">
        <v>270</v>
      </c>
      <c r="I16" s="217"/>
      <c r="J16" s="220"/>
      <c r="K16" s="220"/>
    </row>
    <row r="17" spans="3:11" ht="16.5" thickBot="1" x14ac:dyDescent="0.3">
      <c r="C17" s="40" t="s">
        <v>269</v>
      </c>
      <c r="D17" s="218"/>
      <c r="E17" s="40" t="s">
        <v>268</v>
      </c>
      <c r="F17" s="218"/>
      <c r="G17" s="40" t="s">
        <v>268</v>
      </c>
      <c r="H17" s="218"/>
      <c r="I17" s="218"/>
      <c r="J17" s="221"/>
      <c r="K17" s="221"/>
    </row>
    <row r="18" spans="3:11" ht="16.5" thickBot="1" x14ac:dyDescent="0.3">
      <c r="C18" s="40" t="s">
        <v>267</v>
      </c>
      <c r="D18" s="216" t="s">
        <v>266</v>
      </c>
      <c r="E18" s="40" t="s">
        <v>265</v>
      </c>
      <c r="F18" s="216" t="s">
        <v>251</v>
      </c>
      <c r="G18" s="40" t="s">
        <v>265</v>
      </c>
      <c r="H18" s="216" t="s">
        <v>251</v>
      </c>
      <c r="I18" s="216">
        <v>3</v>
      </c>
      <c r="J18" s="37" t="s">
        <v>264</v>
      </c>
      <c r="K18" s="37" t="s">
        <v>263</v>
      </c>
    </row>
    <row r="19" spans="3:11" ht="16.5" thickBot="1" x14ac:dyDescent="0.3">
      <c r="C19" s="40" t="s">
        <v>262</v>
      </c>
      <c r="D19" s="217"/>
      <c r="E19" s="40" t="s">
        <v>261</v>
      </c>
      <c r="F19" s="217"/>
      <c r="G19" s="40" t="s">
        <v>261</v>
      </c>
      <c r="H19" s="217"/>
      <c r="I19" s="217"/>
      <c r="J19" s="38" t="s">
        <v>260</v>
      </c>
      <c r="K19" s="38" t="s">
        <v>259</v>
      </c>
    </row>
    <row r="20" spans="3:11" ht="16.5" thickBot="1" x14ac:dyDescent="0.3">
      <c r="C20" s="40" t="s">
        <v>258</v>
      </c>
      <c r="D20" s="217"/>
      <c r="E20" s="40" t="s">
        <v>257</v>
      </c>
      <c r="F20" s="217"/>
      <c r="G20" s="40" t="s">
        <v>257</v>
      </c>
      <c r="H20" s="217"/>
      <c r="I20" s="218"/>
      <c r="J20" s="39"/>
      <c r="K20" s="38" t="s">
        <v>256</v>
      </c>
    </row>
    <row r="21" spans="3:11" ht="16.5" thickBot="1" x14ac:dyDescent="0.3">
      <c r="C21" s="40" t="s">
        <v>255</v>
      </c>
      <c r="D21" s="217"/>
      <c r="E21" s="40" t="s">
        <v>254</v>
      </c>
      <c r="F21" s="217"/>
      <c r="G21" s="40" t="s">
        <v>254</v>
      </c>
      <c r="H21" s="217"/>
      <c r="I21" s="216">
        <v>4</v>
      </c>
      <c r="J21" s="219" t="s">
        <v>253</v>
      </c>
      <c r="K21" s="38"/>
    </row>
    <row r="22" spans="3:11" ht="16.5" thickBot="1" x14ac:dyDescent="0.3">
      <c r="C22" s="40" t="s">
        <v>252</v>
      </c>
      <c r="D22" s="217"/>
      <c r="E22" s="40" t="s">
        <v>251</v>
      </c>
      <c r="F22" s="217"/>
      <c r="G22" s="40" t="s">
        <v>251</v>
      </c>
      <c r="H22" s="217"/>
      <c r="I22" s="217"/>
      <c r="J22" s="220"/>
      <c r="K22" s="38"/>
    </row>
    <row r="23" spans="3:11" ht="16.5" thickBot="1" x14ac:dyDescent="0.3">
      <c r="C23" s="40" t="s">
        <v>250</v>
      </c>
      <c r="D23" s="217"/>
      <c r="E23" s="40" t="s">
        <v>249</v>
      </c>
      <c r="F23" s="218"/>
      <c r="G23" s="40" t="s">
        <v>249</v>
      </c>
      <c r="H23" s="218"/>
      <c r="I23" s="218"/>
      <c r="J23" s="221"/>
      <c r="K23" s="38"/>
    </row>
    <row r="24" spans="3:11" ht="16.5" thickBot="1" x14ac:dyDescent="0.3">
      <c r="C24" s="40" t="s">
        <v>248</v>
      </c>
      <c r="D24" s="217"/>
      <c r="E24" s="40" t="s">
        <v>247</v>
      </c>
      <c r="F24" s="216" t="s">
        <v>236</v>
      </c>
      <c r="G24" s="222" t="s">
        <v>244</v>
      </c>
      <c r="H24" s="216" t="s">
        <v>236</v>
      </c>
      <c r="I24" s="216">
        <v>5</v>
      </c>
      <c r="J24" s="36" t="s">
        <v>246</v>
      </c>
      <c r="K24" s="38"/>
    </row>
    <row r="25" spans="3:11" ht="16.5" thickBot="1" x14ac:dyDescent="0.3">
      <c r="C25" s="40" t="s">
        <v>245</v>
      </c>
      <c r="D25" s="217"/>
      <c r="E25" s="40" t="s">
        <v>244</v>
      </c>
      <c r="F25" s="217"/>
      <c r="G25" s="224"/>
      <c r="H25" s="217"/>
      <c r="I25" s="217"/>
      <c r="J25" s="36" t="s">
        <v>243</v>
      </c>
      <c r="K25" s="38"/>
    </row>
    <row r="26" spans="3:11" ht="16.5" thickBot="1" x14ac:dyDescent="0.3">
      <c r="C26" s="40" t="s">
        <v>242</v>
      </c>
      <c r="D26" s="217"/>
      <c r="E26" s="40" t="s">
        <v>241</v>
      </c>
      <c r="F26" s="217"/>
      <c r="G26" s="224"/>
      <c r="H26" s="217"/>
      <c r="I26" s="218"/>
      <c r="J26" s="37" t="s">
        <v>240</v>
      </c>
      <c r="K26" s="38"/>
    </row>
    <row r="27" spans="3:11" ht="16.5" thickBot="1" x14ac:dyDescent="0.3">
      <c r="C27" s="222" t="s">
        <v>239</v>
      </c>
      <c r="D27" s="217"/>
      <c r="E27" s="40" t="s">
        <v>238</v>
      </c>
      <c r="F27" s="217"/>
      <c r="G27" s="224"/>
      <c r="H27" s="217"/>
      <c r="I27" s="216">
        <v>6</v>
      </c>
      <c r="J27" s="38" t="s">
        <v>237</v>
      </c>
      <c r="K27" s="38"/>
    </row>
    <row r="28" spans="3:11" ht="16.5" thickBot="1" x14ac:dyDescent="0.3">
      <c r="C28" s="223"/>
      <c r="D28" s="217"/>
      <c r="E28" s="40" t="s">
        <v>236</v>
      </c>
      <c r="F28" s="218"/>
      <c r="G28" s="223"/>
      <c r="H28" s="218"/>
      <c r="I28" s="217"/>
      <c r="J28" s="39"/>
      <c r="K28" s="38"/>
    </row>
    <row r="29" spans="3:11" ht="16.5" thickBot="1" x14ac:dyDescent="0.3">
      <c r="C29" s="40" t="s">
        <v>236</v>
      </c>
      <c r="D29" s="217"/>
      <c r="E29" s="222" t="s">
        <v>231</v>
      </c>
      <c r="F29" s="216" t="s">
        <v>233</v>
      </c>
      <c r="G29" s="40" t="s">
        <v>235</v>
      </c>
      <c r="H29" s="216" t="s">
        <v>233</v>
      </c>
      <c r="I29" s="217"/>
      <c r="J29" s="219" t="s">
        <v>234</v>
      </c>
      <c r="K29" s="38"/>
    </row>
    <row r="30" spans="3:11" ht="16.5" thickBot="1" x14ac:dyDescent="0.3">
      <c r="C30" s="222" t="s">
        <v>233</v>
      </c>
      <c r="D30" s="217"/>
      <c r="E30" s="224"/>
      <c r="F30" s="217"/>
      <c r="G30" s="40" t="s">
        <v>232</v>
      </c>
      <c r="H30" s="217"/>
      <c r="I30" s="217"/>
      <c r="J30" s="220"/>
      <c r="K30" s="38"/>
    </row>
    <row r="31" spans="3:11" ht="16.5" thickBot="1" x14ac:dyDescent="0.3">
      <c r="C31" s="223"/>
      <c r="D31" s="218"/>
      <c r="E31" s="223"/>
      <c r="F31" s="218"/>
      <c r="G31" s="40" t="s">
        <v>231</v>
      </c>
      <c r="H31" s="218"/>
      <c r="I31" s="218"/>
      <c r="J31" s="221"/>
      <c r="K31" s="39"/>
    </row>
  </sheetData>
  <mergeCells count="39">
    <mergeCell ref="C2:K2"/>
    <mergeCell ref="C6:D6"/>
    <mergeCell ref="E6:F6"/>
    <mergeCell ref="G6:H6"/>
    <mergeCell ref="J6:K7"/>
    <mergeCell ref="I8:I14"/>
    <mergeCell ref="K8:K17"/>
    <mergeCell ref="J9:J11"/>
    <mergeCell ref="F12:F13"/>
    <mergeCell ref="H12:H13"/>
    <mergeCell ref="J12:J14"/>
    <mergeCell ref="F14:F15"/>
    <mergeCell ref="H14:H15"/>
    <mergeCell ref="I15:I17"/>
    <mergeCell ref="J15:J17"/>
    <mergeCell ref="F16:F17"/>
    <mergeCell ref="H16:H17"/>
    <mergeCell ref="H18:H23"/>
    <mergeCell ref="D8:D13"/>
    <mergeCell ref="F8:F11"/>
    <mergeCell ref="H8:H11"/>
    <mergeCell ref="D14:D15"/>
    <mergeCell ref="D16:D17"/>
    <mergeCell ref="I18:I20"/>
    <mergeCell ref="I21:I23"/>
    <mergeCell ref="J29:J31"/>
    <mergeCell ref="C30:C31"/>
    <mergeCell ref="J21:J23"/>
    <mergeCell ref="F24:F28"/>
    <mergeCell ref="G24:G28"/>
    <mergeCell ref="H24:H28"/>
    <mergeCell ref="I24:I26"/>
    <mergeCell ref="C27:C28"/>
    <mergeCell ref="I27:I31"/>
    <mergeCell ref="E29:E31"/>
    <mergeCell ref="F29:F31"/>
    <mergeCell ref="H29:H31"/>
    <mergeCell ref="D18:D31"/>
    <mergeCell ref="F18:F23"/>
  </mergeCells>
  <pageMargins left="0.511811024" right="0.511811024" top="0.78740157499999996" bottom="0.78740157499999996" header="0.31496062000000002" footer="0.31496062000000002"/>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85354-9160-44CA-B8E6-9F392FD2572D}">
  <sheetPr>
    <tabColor theme="4" tint="-0.249977111117893"/>
  </sheetPr>
  <dimension ref="E2:O11"/>
  <sheetViews>
    <sheetView workbookViewId="0">
      <selection activeCell="E2" sqref="E2:O2"/>
    </sheetView>
  </sheetViews>
  <sheetFormatPr defaultRowHeight="15" x14ac:dyDescent="0.25"/>
  <cols>
    <col min="1" max="4" width="10.7109375" style="1" customWidth="1"/>
    <col min="5" max="16384" width="9.140625" style="1"/>
  </cols>
  <sheetData>
    <row r="2" spans="5:15" ht="32.25" x14ac:dyDescent="0.25">
      <c r="E2" s="70" t="s">
        <v>28</v>
      </c>
      <c r="F2" s="70"/>
      <c r="G2" s="70"/>
      <c r="H2" s="70"/>
      <c r="I2" s="70"/>
      <c r="J2" s="70"/>
      <c r="K2" s="70"/>
      <c r="L2" s="70"/>
      <c r="M2" s="70"/>
      <c r="N2" s="70"/>
      <c r="O2" s="70"/>
    </row>
    <row r="5" spans="5:15" ht="15.75" x14ac:dyDescent="0.25">
      <c r="F5" s="233" t="s">
        <v>335</v>
      </c>
      <c r="G5" s="233"/>
      <c r="H5" s="233"/>
      <c r="I5" s="233"/>
      <c r="J5" s="233"/>
      <c r="K5" s="233"/>
      <c r="L5" s="233"/>
      <c r="M5" s="233"/>
    </row>
    <row r="6" spans="5:15" ht="15.75" x14ac:dyDescent="0.25">
      <c r="F6" s="79" t="s">
        <v>332</v>
      </c>
      <c r="G6" s="79"/>
      <c r="H6" s="79"/>
      <c r="I6" s="79"/>
      <c r="J6" s="79"/>
      <c r="K6" s="231">
        <v>8000</v>
      </c>
      <c r="L6" s="231"/>
      <c r="M6" s="231"/>
    </row>
    <row r="7" spans="5:15" ht="15.75" x14ac:dyDescent="0.25">
      <c r="F7" s="79" t="s">
        <v>333</v>
      </c>
      <c r="G7" s="79"/>
      <c r="H7" s="79"/>
      <c r="I7" s="79"/>
      <c r="J7" s="79"/>
      <c r="K7" s="104">
        <v>5.0000000000000001E-3</v>
      </c>
      <c r="L7" s="104"/>
      <c r="M7" s="104"/>
    </row>
    <row r="10" spans="5:15" ht="15.75" x14ac:dyDescent="0.25">
      <c r="F10" s="233" t="s">
        <v>336</v>
      </c>
      <c r="G10" s="233"/>
      <c r="H10" s="233"/>
      <c r="I10" s="233"/>
      <c r="J10" s="233"/>
      <c r="K10" s="233"/>
      <c r="L10" s="233"/>
      <c r="M10" s="233"/>
    </row>
    <row r="11" spans="5:15" ht="15.75" x14ac:dyDescent="0.25">
      <c r="F11" s="188" t="s">
        <v>334</v>
      </c>
      <c r="G11" s="188"/>
      <c r="H11" s="188"/>
      <c r="I11" s="188"/>
      <c r="J11" s="188"/>
      <c r="K11" s="232">
        <f>K6/K7</f>
        <v>1600000</v>
      </c>
      <c r="L11" s="232"/>
      <c r="M11" s="232"/>
    </row>
  </sheetData>
  <mergeCells count="9">
    <mergeCell ref="E2:O2"/>
    <mergeCell ref="F11:J11"/>
    <mergeCell ref="F7:J7"/>
    <mergeCell ref="F6:J6"/>
    <mergeCell ref="K6:M6"/>
    <mergeCell ref="K7:M7"/>
    <mergeCell ref="K11:M11"/>
    <mergeCell ref="F5:M5"/>
    <mergeCell ref="F10:M10"/>
  </mergeCells>
  <pageMargins left="0.511811024" right="0.511811024" top="0.78740157499999996" bottom="0.78740157499999996" header="0.31496062000000002" footer="0.31496062000000002"/>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B19E5-F022-4150-A9C5-F7C88ABA2F93}">
  <sheetPr>
    <tabColor theme="4" tint="-0.499984740745262"/>
  </sheetPr>
  <dimension ref="C2:Q2"/>
  <sheetViews>
    <sheetView workbookViewId="0">
      <selection activeCell="C2" sqref="C2:Q2"/>
    </sheetView>
  </sheetViews>
  <sheetFormatPr defaultRowHeight="15" x14ac:dyDescent="0.25"/>
  <cols>
    <col min="1" max="4" width="10.7109375" style="1" customWidth="1"/>
    <col min="5" max="16384" width="9.140625" style="1"/>
  </cols>
  <sheetData>
    <row r="2" spans="3:17" ht="32.25" x14ac:dyDescent="0.25">
      <c r="C2" s="70" t="s">
        <v>29</v>
      </c>
      <c r="D2" s="70"/>
      <c r="E2" s="70"/>
      <c r="F2" s="70"/>
      <c r="G2" s="70"/>
      <c r="H2" s="70"/>
      <c r="I2" s="70"/>
      <c r="J2" s="70"/>
      <c r="K2" s="70"/>
      <c r="L2" s="70"/>
      <c r="M2" s="70"/>
      <c r="N2" s="70"/>
      <c r="O2" s="70"/>
      <c r="P2" s="70"/>
      <c r="Q2" s="70"/>
    </row>
  </sheetData>
  <mergeCells count="1">
    <mergeCell ref="C2:Q2"/>
  </mergeCells>
  <pageMargins left="0.511811024" right="0.511811024" top="0.78740157499999996" bottom="0.78740157499999996" header="0.31496062000000002" footer="0.31496062000000002"/>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24AAB-CE50-472D-A2B8-44FB0F226C06}">
  <sheetPr>
    <tabColor theme="4" tint="-0.249977111117893"/>
  </sheetPr>
  <dimension ref="E2:Q17"/>
  <sheetViews>
    <sheetView workbookViewId="0">
      <selection activeCell="E2" sqref="E2:O2"/>
    </sheetView>
  </sheetViews>
  <sheetFormatPr defaultRowHeight="15" x14ac:dyDescent="0.25"/>
  <cols>
    <col min="1" max="4" width="10.7109375" style="1" customWidth="1"/>
    <col min="5" max="16384" width="9.140625" style="1"/>
  </cols>
  <sheetData>
    <row r="2" spans="5:17" ht="32.25" x14ac:dyDescent="0.25">
      <c r="E2" s="70" t="s">
        <v>30</v>
      </c>
      <c r="F2" s="70"/>
      <c r="G2" s="70"/>
      <c r="H2" s="70"/>
      <c r="I2" s="70"/>
      <c r="J2" s="70"/>
      <c r="K2" s="70"/>
      <c r="L2" s="70"/>
      <c r="M2" s="70"/>
      <c r="N2" s="70"/>
      <c r="O2" s="70"/>
    </row>
    <row r="5" spans="5:17" ht="15.75" x14ac:dyDescent="0.25">
      <c r="E5" s="131" t="s">
        <v>204</v>
      </c>
      <c r="F5" s="131"/>
      <c r="G5" s="131"/>
      <c r="H5" s="131" t="s">
        <v>205</v>
      </c>
      <c r="I5" s="131"/>
      <c r="J5" s="131" t="s">
        <v>206</v>
      </c>
      <c r="K5" s="131"/>
      <c r="L5" s="131" t="s">
        <v>207</v>
      </c>
      <c r="M5" s="131"/>
      <c r="O5" s="6" t="s">
        <v>169</v>
      </c>
    </row>
    <row r="6" spans="5:17" ht="15.75" x14ac:dyDescent="0.25">
      <c r="E6" s="165" t="s">
        <v>208</v>
      </c>
      <c r="F6" s="165"/>
      <c r="G6" s="165"/>
      <c r="H6" s="234">
        <v>1.88</v>
      </c>
      <c r="I6" s="235"/>
      <c r="J6" s="234">
        <v>1.2</v>
      </c>
      <c r="K6" s="235"/>
      <c r="L6" s="234">
        <v>0.99</v>
      </c>
      <c r="M6" s="235"/>
      <c r="O6" s="25">
        <v>0.56999999999999995</v>
      </c>
    </row>
    <row r="7" spans="5:17" ht="15.75" x14ac:dyDescent="0.25">
      <c r="E7" s="165" t="s">
        <v>209</v>
      </c>
      <c r="F7" s="165"/>
      <c r="G7" s="165"/>
      <c r="H7" s="234">
        <v>-1</v>
      </c>
      <c r="I7" s="235"/>
      <c r="J7" s="234">
        <v>-0.44</v>
      </c>
      <c r="K7" s="235"/>
      <c r="L7" s="234">
        <v>2.33</v>
      </c>
      <c r="M7" s="235"/>
      <c r="O7" s="25">
        <v>0.43</v>
      </c>
    </row>
    <row r="8" spans="5:17" ht="15.75" x14ac:dyDescent="0.25">
      <c r="E8" s="165"/>
      <c r="F8" s="165"/>
      <c r="G8" s="165"/>
      <c r="H8" s="234"/>
      <c r="I8" s="235"/>
      <c r="J8" s="234"/>
      <c r="K8" s="235"/>
      <c r="L8" s="234"/>
      <c r="M8" s="235"/>
      <c r="O8" s="25"/>
    </row>
    <row r="9" spans="5:17" ht="15.75" x14ac:dyDescent="0.25">
      <c r="E9" s="165"/>
      <c r="F9" s="165"/>
      <c r="G9" s="165"/>
      <c r="H9" s="234"/>
      <c r="I9" s="235"/>
      <c r="J9" s="234"/>
      <c r="K9" s="235"/>
      <c r="L9" s="234"/>
      <c r="M9" s="235"/>
      <c r="O9" s="25"/>
    </row>
    <row r="10" spans="5:17" ht="15.75" x14ac:dyDescent="0.25">
      <c r="E10" s="165"/>
      <c r="F10" s="165"/>
      <c r="G10" s="165"/>
      <c r="H10" s="234"/>
      <c r="I10" s="235"/>
      <c r="J10" s="234"/>
      <c r="K10" s="235"/>
      <c r="L10" s="234"/>
      <c r="M10" s="235"/>
      <c r="O10" s="25"/>
    </row>
    <row r="11" spans="5:17" ht="15.75" x14ac:dyDescent="0.25">
      <c r="E11" s="165"/>
      <c r="F11" s="165"/>
      <c r="G11" s="165"/>
      <c r="H11" s="234"/>
      <c r="I11" s="235"/>
      <c r="J11" s="234"/>
      <c r="K11" s="235"/>
      <c r="L11" s="234"/>
      <c r="M11" s="235"/>
      <c r="O11" s="25"/>
      <c r="Q11"/>
    </row>
    <row r="12" spans="5:17" ht="15.75" x14ac:dyDescent="0.25">
      <c r="E12" s="165"/>
      <c r="F12" s="165"/>
      <c r="G12" s="165"/>
      <c r="H12" s="234"/>
      <c r="I12" s="235"/>
      <c r="J12" s="234"/>
      <c r="K12" s="235"/>
      <c r="L12" s="234"/>
      <c r="M12" s="235"/>
      <c r="O12" s="25"/>
    </row>
    <row r="13" spans="5:17" ht="15.75" x14ac:dyDescent="0.25">
      <c r="E13" s="165"/>
      <c r="F13" s="165"/>
      <c r="G13" s="165"/>
      <c r="H13" s="234"/>
      <c r="I13" s="235"/>
      <c r="J13" s="234"/>
      <c r="K13" s="235"/>
      <c r="L13" s="234"/>
      <c r="M13" s="235"/>
      <c r="O13" s="25"/>
    </row>
    <row r="14" spans="5:17" ht="15.75" x14ac:dyDescent="0.25">
      <c r="E14" s="165"/>
      <c r="F14" s="165"/>
      <c r="G14" s="165"/>
      <c r="H14" s="234"/>
      <c r="I14" s="235"/>
      <c r="J14" s="234"/>
      <c r="K14" s="235"/>
      <c r="L14" s="234"/>
      <c r="M14" s="235"/>
      <c r="O14" s="25"/>
    </row>
    <row r="15" spans="5:17" ht="15.75" x14ac:dyDescent="0.25">
      <c r="E15" s="165"/>
      <c r="F15" s="165"/>
      <c r="G15" s="165"/>
      <c r="H15" s="234"/>
      <c r="I15" s="235"/>
      <c r="J15" s="234"/>
      <c r="K15" s="235"/>
      <c r="L15" s="234"/>
      <c r="M15" s="235"/>
      <c r="O15" s="25"/>
    </row>
    <row r="17" spans="5:15" ht="15.75" x14ac:dyDescent="0.25">
      <c r="E17" s="152" t="s">
        <v>210</v>
      </c>
      <c r="F17" s="152"/>
      <c r="G17" s="152"/>
      <c r="H17" s="236">
        <f>SUMPRODUCT(H6:H15,O6:O15)</f>
        <v>0.64159999999999995</v>
      </c>
      <c r="I17" s="237"/>
      <c r="J17" s="236">
        <f>SUMPRODUCT(J6:J15,O6:O15)</f>
        <v>0.49479999999999991</v>
      </c>
      <c r="K17" s="237"/>
      <c r="L17" s="236">
        <f>SUMPRODUCT(L6:L15,O6:O15)</f>
        <v>1.5661999999999998</v>
      </c>
      <c r="M17" s="237"/>
      <c r="O17" s="24"/>
    </row>
  </sheetData>
  <mergeCells count="49">
    <mergeCell ref="E2:O2"/>
    <mergeCell ref="E5:G5"/>
    <mergeCell ref="H5:I5"/>
    <mergeCell ref="J5:K5"/>
    <mergeCell ref="L5:M5"/>
    <mergeCell ref="L6:M6"/>
    <mergeCell ref="J7:K7"/>
    <mergeCell ref="L7:M7"/>
    <mergeCell ref="J8:K8"/>
    <mergeCell ref="L8:M8"/>
    <mergeCell ref="E13:G13"/>
    <mergeCell ref="E14:G14"/>
    <mergeCell ref="E17:G17"/>
    <mergeCell ref="H6:I6"/>
    <mergeCell ref="J6:K6"/>
    <mergeCell ref="E7:G7"/>
    <mergeCell ref="E8:G8"/>
    <mergeCell ref="E9:G9"/>
    <mergeCell ref="E10:G10"/>
    <mergeCell ref="E11:G11"/>
    <mergeCell ref="E12:G12"/>
    <mergeCell ref="E6:G6"/>
    <mergeCell ref="J9:K9"/>
    <mergeCell ref="H12:I12"/>
    <mergeCell ref="H13:I13"/>
    <mergeCell ref="H14:I14"/>
    <mergeCell ref="L9:M9"/>
    <mergeCell ref="J10:K10"/>
    <mergeCell ref="L10:M10"/>
    <mergeCell ref="J11:K11"/>
    <mergeCell ref="L11:M11"/>
    <mergeCell ref="J12:K12"/>
    <mergeCell ref="L12:M12"/>
    <mergeCell ref="J13:K13"/>
    <mergeCell ref="L13:M13"/>
    <mergeCell ref="J14:K14"/>
    <mergeCell ref="L14:M14"/>
    <mergeCell ref="H7:I7"/>
    <mergeCell ref="H8:I8"/>
    <mergeCell ref="H9:I9"/>
    <mergeCell ref="H10:I10"/>
    <mergeCell ref="H11:I11"/>
    <mergeCell ref="H15:I15"/>
    <mergeCell ref="E15:G15"/>
    <mergeCell ref="H17:I17"/>
    <mergeCell ref="J17:K17"/>
    <mergeCell ref="L17:M17"/>
    <mergeCell ref="J15:K15"/>
    <mergeCell ref="L15:M15"/>
  </mergeCell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4DC74-3F35-4C39-A509-67F47AA9EA76}">
  <sheetPr>
    <tabColor theme="4" tint="-0.249977111117893"/>
  </sheetPr>
  <dimension ref="C2:S20"/>
  <sheetViews>
    <sheetView workbookViewId="0">
      <selection activeCell="C2" sqref="C2:P2"/>
    </sheetView>
  </sheetViews>
  <sheetFormatPr defaultRowHeight="15" x14ac:dyDescent="0.25"/>
  <cols>
    <col min="1" max="4" width="10.7109375" style="1" customWidth="1"/>
    <col min="5" max="16" width="9.28515625" style="1" customWidth="1"/>
    <col min="17" max="16384" width="9.140625" style="1"/>
  </cols>
  <sheetData>
    <row r="2" spans="3:19" ht="32.25" x14ac:dyDescent="0.25">
      <c r="C2" s="70" t="s">
        <v>366</v>
      </c>
      <c r="D2" s="70"/>
      <c r="E2" s="70"/>
      <c r="F2" s="70"/>
      <c r="G2" s="70"/>
      <c r="H2" s="70"/>
      <c r="I2" s="70"/>
      <c r="J2" s="70"/>
      <c r="K2" s="70"/>
      <c r="L2" s="70"/>
      <c r="M2" s="70"/>
      <c r="N2" s="70"/>
      <c r="O2" s="70"/>
      <c r="P2" s="70"/>
      <c r="Q2" s="10"/>
      <c r="R2" s="10"/>
      <c r="S2" s="10"/>
    </row>
    <row r="5" spans="3:19" ht="15.75" x14ac:dyDescent="0.25">
      <c r="C5" s="79" t="s">
        <v>215</v>
      </c>
      <c r="D5" s="79"/>
      <c r="E5" s="88">
        <v>500000</v>
      </c>
      <c r="F5" s="88"/>
      <c r="G5" s="88"/>
    </row>
    <row r="7" spans="3:19" ht="15.75" x14ac:dyDescent="0.25">
      <c r="E7" s="82" t="s">
        <v>413</v>
      </c>
      <c r="F7" s="82"/>
      <c r="G7" s="82"/>
      <c r="H7" s="82"/>
      <c r="I7" s="82"/>
      <c r="J7" s="82"/>
      <c r="K7" s="82"/>
      <c r="L7" s="82"/>
      <c r="M7" s="82"/>
      <c r="N7" s="82"/>
      <c r="O7" s="82"/>
      <c r="P7" s="82"/>
    </row>
    <row r="8" spans="3:19" ht="15.75" customHeight="1" x14ac:dyDescent="0.25">
      <c r="C8" s="82" t="s">
        <v>414</v>
      </c>
      <c r="D8" s="82"/>
      <c r="E8" s="84" t="s">
        <v>409</v>
      </c>
      <c r="F8" s="84"/>
      <c r="G8" s="87"/>
      <c r="H8" s="85" t="s">
        <v>410</v>
      </c>
      <c r="I8" s="84"/>
      <c r="J8" s="86"/>
      <c r="K8" s="85" t="s">
        <v>411</v>
      </c>
      <c r="L8" s="84"/>
      <c r="M8" s="86"/>
      <c r="N8" s="83" t="s">
        <v>412</v>
      </c>
      <c r="O8" s="84"/>
      <c r="P8" s="84"/>
    </row>
    <row r="9" spans="3:19" x14ac:dyDescent="0.25">
      <c r="C9" s="82"/>
      <c r="D9" s="82"/>
      <c r="E9" s="84"/>
      <c r="F9" s="84"/>
      <c r="G9" s="87"/>
      <c r="H9" s="85"/>
      <c r="I9" s="84"/>
      <c r="J9" s="86"/>
      <c r="K9" s="85"/>
      <c r="L9" s="84"/>
      <c r="M9" s="86"/>
      <c r="N9" s="83"/>
      <c r="O9" s="84"/>
      <c r="P9" s="84"/>
    </row>
    <row r="10" spans="3:19" ht="15.75" x14ac:dyDescent="0.25">
      <c r="C10" s="75" t="s">
        <v>415</v>
      </c>
      <c r="D10" s="75"/>
      <c r="E10" s="52">
        <v>0.7</v>
      </c>
      <c r="F10" s="78">
        <f>$E$5*E10</f>
        <v>350000</v>
      </c>
      <c r="G10" s="80"/>
      <c r="H10" s="51">
        <v>0.45</v>
      </c>
      <c r="I10" s="78">
        <f>$E$5*H10</f>
        <v>225000</v>
      </c>
      <c r="J10" s="81"/>
      <c r="K10" s="51">
        <v>0.25</v>
      </c>
      <c r="L10" s="78">
        <f>$E$5*K10</f>
        <v>125000</v>
      </c>
      <c r="M10" s="81"/>
      <c r="N10" s="53">
        <v>0.15</v>
      </c>
      <c r="O10" s="78">
        <f>$E$5*N10</f>
        <v>75000</v>
      </c>
      <c r="P10" s="78"/>
    </row>
    <row r="11" spans="3:19" ht="15.75" x14ac:dyDescent="0.25">
      <c r="C11" s="75" t="s">
        <v>416</v>
      </c>
      <c r="D11" s="75"/>
      <c r="E11" s="52">
        <v>0.1</v>
      </c>
      <c r="F11" s="78">
        <f t="shared" ref="F11:F18" si="0">$E$5*E11</f>
        <v>50000</v>
      </c>
      <c r="G11" s="80"/>
      <c r="H11" s="51">
        <v>0.125</v>
      </c>
      <c r="I11" s="78">
        <f t="shared" ref="I11:I18" si="1">$E$5*H11</f>
        <v>62500</v>
      </c>
      <c r="J11" s="81"/>
      <c r="K11" s="51">
        <v>0.15</v>
      </c>
      <c r="L11" s="78">
        <f t="shared" ref="L11:L18" si="2">$E$5*K11</f>
        <v>75000</v>
      </c>
      <c r="M11" s="81"/>
      <c r="N11" s="53">
        <v>0.17499999999999999</v>
      </c>
      <c r="O11" s="78">
        <f t="shared" ref="O11:O18" si="3">$E$5*N11</f>
        <v>87500</v>
      </c>
      <c r="P11" s="78"/>
    </row>
    <row r="12" spans="3:19" ht="15.75" x14ac:dyDescent="0.25">
      <c r="C12" s="75" t="s">
        <v>417</v>
      </c>
      <c r="D12" s="75"/>
      <c r="E12" s="52">
        <v>0.05</v>
      </c>
      <c r="F12" s="78">
        <f t="shared" si="0"/>
        <v>25000</v>
      </c>
      <c r="G12" s="80"/>
      <c r="H12" s="51">
        <v>7.4999999999999997E-2</v>
      </c>
      <c r="I12" s="78">
        <f t="shared" si="1"/>
        <v>37500</v>
      </c>
      <c r="J12" s="81"/>
      <c r="K12" s="51">
        <v>0.1</v>
      </c>
      <c r="L12" s="78">
        <f t="shared" si="2"/>
        <v>50000</v>
      </c>
      <c r="M12" s="81"/>
      <c r="N12" s="53">
        <v>0.125</v>
      </c>
      <c r="O12" s="78">
        <f t="shared" si="3"/>
        <v>62500</v>
      </c>
      <c r="P12" s="78"/>
    </row>
    <row r="13" spans="3:19" ht="15.75" x14ac:dyDescent="0.25">
      <c r="C13" s="75" t="s">
        <v>376</v>
      </c>
      <c r="D13" s="75"/>
      <c r="E13" s="52">
        <v>0.15</v>
      </c>
      <c r="F13" s="78">
        <f t="shared" si="0"/>
        <v>75000</v>
      </c>
      <c r="G13" s="80"/>
      <c r="H13" s="51">
        <v>0.2</v>
      </c>
      <c r="I13" s="78">
        <f t="shared" si="1"/>
        <v>100000</v>
      </c>
      <c r="J13" s="81"/>
      <c r="K13" s="51">
        <v>0.25</v>
      </c>
      <c r="L13" s="78">
        <f t="shared" si="2"/>
        <v>125000</v>
      </c>
      <c r="M13" s="81"/>
      <c r="N13" s="53">
        <v>0.27500000000000002</v>
      </c>
      <c r="O13" s="78">
        <f t="shared" si="3"/>
        <v>137500</v>
      </c>
      <c r="P13" s="78"/>
    </row>
    <row r="14" spans="3:19" ht="15.75" x14ac:dyDescent="0.25">
      <c r="C14" s="75" t="s">
        <v>418</v>
      </c>
      <c r="D14" s="75"/>
      <c r="E14" s="52">
        <v>0</v>
      </c>
      <c r="F14" s="78">
        <f t="shared" si="0"/>
        <v>0</v>
      </c>
      <c r="G14" s="80"/>
      <c r="H14" s="51">
        <v>0.05</v>
      </c>
      <c r="I14" s="78">
        <f t="shared" si="1"/>
        <v>25000</v>
      </c>
      <c r="J14" s="81"/>
      <c r="K14" s="51">
        <v>0.1</v>
      </c>
      <c r="L14" s="78">
        <f t="shared" si="2"/>
        <v>50000</v>
      </c>
      <c r="M14" s="81"/>
      <c r="N14" s="53">
        <v>0.125</v>
      </c>
      <c r="O14" s="78">
        <f t="shared" si="3"/>
        <v>62500</v>
      </c>
      <c r="P14" s="78"/>
    </row>
    <row r="15" spans="3:19" ht="15.75" x14ac:dyDescent="0.25">
      <c r="C15" s="75" t="s">
        <v>419</v>
      </c>
      <c r="D15" s="75"/>
      <c r="E15" s="52">
        <v>0</v>
      </c>
      <c r="F15" s="78">
        <f t="shared" si="0"/>
        <v>0</v>
      </c>
      <c r="G15" s="80"/>
      <c r="H15" s="51">
        <v>2.5000000000000001E-2</v>
      </c>
      <c r="I15" s="78">
        <f t="shared" si="1"/>
        <v>12500</v>
      </c>
      <c r="J15" s="81"/>
      <c r="K15" s="51">
        <v>0.05</v>
      </c>
      <c r="L15" s="78">
        <f t="shared" si="2"/>
        <v>25000</v>
      </c>
      <c r="M15" s="81"/>
      <c r="N15" s="53">
        <v>0.05</v>
      </c>
      <c r="O15" s="78">
        <f t="shared" si="3"/>
        <v>25000</v>
      </c>
      <c r="P15" s="78"/>
    </row>
    <row r="16" spans="3:19" ht="15.75" x14ac:dyDescent="0.25">
      <c r="C16" s="75" t="s">
        <v>423</v>
      </c>
      <c r="D16" s="75"/>
      <c r="E16" s="52">
        <v>0</v>
      </c>
      <c r="F16" s="78">
        <f t="shared" si="0"/>
        <v>0</v>
      </c>
      <c r="G16" s="80"/>
      <c r="H16" s="51">
        <v>2.5000000000000001E-2</v>
      </c>
      <c r="I16" s="78">
        <f t="shared" si="1"/>
        <v>12500</v>
      </c>
      <c r="J16" s="81"/>
      <c r="K16" s="51">
        <v>2.5000000000000001E-2</v>
      </c>
      <c r="L16" s="78">
        <f t="shared" si="2"/>
        <v>12500</v>
      </c>
      <c r="M16" s="81"/>
      <c r="N16" s="53">
        <v>2.5000000000000001E-2</v>
      </c>
      <c r="O16" s="78">
        <f t="shared" si="3"/>
        <v>12500</v>
      </c>
      <c r="P16" s="78"/>
    </row>
    <row r="17" spans="3:16" ht="15.75" x14ac:dyDescent="0.25">
      <c r="C17" s="75" t="s">
        <v>420</v>
      </c>
      <c r="D17" s="75"/>
      <c r="E17" s="52">
        <v>0</v>
      </c>
      <c r="F17" s="78">
        <f t="shared" si="0"/>
        <v>0</v>
      </c>
      <c r="G17" s="80"/>
      <c r="H17" s="51">
        <v>2.5000000000000001E-2</v>
      </c>
      <c r="I17" s="78">
        <f t="shared" si="1"/>
        <v>12500</v>
      </c>
      <c r="J17" s="81"/>
      <c r="K17" s="51">
        <v>2.5000000000000001E-2</v>
      </c>
      <c r="L17" s="78">
        <f t="shared" si="2"/>
        <v>12500</v>
      </c>
      <c r="M17" s="81"/>
      <c r="N17" s="53">
        <v>2.5000000000000001E-2</v>
      </c>
      <c r="O17" s="78">
        <f t="shared" si="3"/>
        <v>12500</v>
      </c>
      <c r="P17" s="78"/>
    </row>
    <row r="18" spans="3:16" ht="15.75" x14ac:dyDescent="0.25">
      <c r="C18" s="75" t="s">
        <v>421</v>
      </c>
      <c r="D18" s="75"/>
      <c r="E18" s="52">
        <v>0</v>
      </c>
      <c r="F18" s="78">
        <f t="shared" si="0"/>
        <v>0</v>
      </c>
      <c r="G18" s="80"/>
      <c r="H18" s="51">
        <v>2.5000000000000001E-2</v>
      </c>
      <c r="I18" s="78">
        <f t="shared" si="1"/>
        <v>12500</v>
      </c>
      <c r="J18" s="81"/>
      <c r="K18" s="51">
        <v>0.05</v>
      </c>
      <c r="L18" s="78">
        <f t="shared" si="2"/>
        <v>25000</v>
      </c>
      <c r="M18" s="81"/>
      <c r="N18" s="53">
        <v>0.05</v>
      </c>
      <c r="O18" s="78">
        <f t="shared" si="3"/>
        <v>25000</v>
      </c>
      <c r="P18" s="78"/>
    </row>
    <row r="20" spans="3:16" ht="15.75" x14ac:dyDescent="0.25">
      <c r="C20" s="75" t="s">
        <v>422</v>
      </c>
      <c r="D20" s="75"/>
      <c r="E20" s="52">
        <f>SUM(E10:E18)</f>
        <v>1</v>
      </c>
      <c r="F20" s="76">
        <f>SUM(F10:G18)</f>
        <v>500000</v>
      </c>
      <c r="G20" s="77"/>
      <c r="H20" s="52">
        <f>SUM(H10:H18)</f>
        <v>1</v>
      </c>
      <c r="I20" s="76">
        <f>SUM(I10:J18)</f>
        <v>500000</v>
      </c>
      <c r="J20" s="77"/>
      <c r="K20" s="52">
        <f>SUM(K10:K18)</f>
        <v>1</v>
      </c>
      <c r="L20" s="76">
        <f>SUM(L10:M18)</f>
        <v>500000</v>
      </c>
      <c r="M20" s="77"/>
      <c r="N20" s="52">
        <f>SUM(N10:N18)</f>
        <v>1</v>
      </c>
      <c r="O20" s="76">
        <f>SUM(O10:P18)</f>
        <v>500000</v>
      </c>
      <c r="P20" s="77"/>
    </row>
  </sheetData>
  <mergeCells count="59">
    <mergeCell ref="E5:G5"/>
    <mergeCell ref="E7:P7"/>
    <mergeCell ref="C8:D9"/>
    <mergeCell ref="N8:P9"/>
    <mergeCell ref="K8:M9"/>
    <mergeCell ref="H8:J9"/>
    <mergeCell ref="E8:G9"/>
    <mergeCell ref="C17:D17"/>
    <mergeCell ref="C18:D18"/>
    <mergeCell ref="F10:G10"/>
    <mergeCell ref="F11:G11"/>
    <mergeCell ref="F12:G12"/>
    <mergeCell ref="F13:G13"/>
    <mergeCell ref="F14:G14"/>
    <mergeCell ref="F15:G15"/>
    <mergeCell ref="F17:G17"/>
    <mergeCell ref="F18:G18"/>
    <mergeCell ref="C10:D10"/>
    <mergeCell ref="C11:D11"/>
    <mergeCell ref="C15:D15"/>
    <mergeCell ref="C14:D14"/>
    <mergeCell ref="C13:D13"/>
    <mergeCell ref="C12:D12"/>
    <mergeCell ref="I17:J17"/>
    <mergeCell ref="I18:J18"/>
    <mergeCell ref="L10:M10"/>
    <mergeCell ref="L11:M11"/>
    <mergeCell ref="L12:M12"/>
    <mergeCell ref="L13:M13"/>
    <mergeCell ref="L14:M14"/>
    <mergeCell ref="L15:M15"/>
    <mergeCell ref="L17:M17"/>
    <mergeCell ref="L18:M18"/>
    <mergeCell ref="I10:J10"/>
    <mergeCell ref="I11:J11"/>
    <mergeCell ref="I12:J12"/>
    <mergeCell ref="I13:J13"/>
    <mergeCell ref="I14:J14"/>
    <mergeCell ref="O15:P15"/>
    <mergeCell ref="O17:P17"/>
    <mergeCell ref="O18:P18"/>
    <mergeCell ref="C5:D5"/>
    <mergeCell ref="C2:P2"/>
    <mergeCell ref="C16:D16"/>
    <mergeCell ref="F16:G16"/>
    <mergeCell ref="I16:J16"/>
    <mergeCell ref="L16:M16"/>
    <mergeCell ref="O16:P16"/>
    <mergeCell ref="O10:P10"/>
    <mergeCell ref="O11:P11"/>
    <mergeCell ref="O12:P12"/>
    <mergeCell ref="O13:P13"/>
    <mergeCell ref="O14:P14"/>
    <mergeCell ref="I15:J15"/>
    <mergeCell ref="C20:D20"/>
    <mergeCell ref="F20:G20"/>
    <mergeCell ref="I20:J20"/>
    <mergeCell ref="L20:M20"/>
    <mergeCell ref="O20:P20"/>
  </mergeCells>
  <pageMargins left="0.511811024" right="0.511811024" top="0.78740157499999996" bottom="0.78740157499999996" header="0.31496062000000002" footer="0.31496062000000002"/>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89633-8E76-4F7F-88F9-65CCBCBD0519}">
  <sheetPr>
    <tabColor theme="4" tint="-0.499984740745262"/>
  </sheetPr>
  <dimension ref="B2:U22"/>
  <sheetViews>
    <sheetView workbookViewId="0">
      <selection activeCell="B5" sqref="B5:G5"/>
    </sheetView>
  </sheetViews>
  <sheetFormatPr defaultRowHeight="15" x14ac:dyDescent="0.25"/>
  <cols>
    <col min="1" max="1" width="5.7109375" style="1" customWidth="1"/>
    <col min="2" max="5" width="10" style="1" customWidth="1"/>
    <col min="6" max="7" width="8.5703125" style="1" customWidth="1"/>
    <col min="8" max="8" width="5.7109375" style="1" customWidth="1"/>
    <col min="9" max="14" width="9.140625" style="1"/>
    <col min="15" max="15" width="5.7109375" style="1" customWidth="1"/>
    <col min="16" max="16384" width="9.140625" style="1"/>
  </cols>
  <sheetData>
    <row r="2" spans="2:21" ht="32.25" x14ac:dyDescent="0.25">
      <c r="B2" s="70" t="s">
        <v>368</v>
      </c>
      <c r="C2" s="70"/>
      <c r="D2" s="70"/>
      <c r="E2" s="70"/>
      <c r="F2" s="70"/>
      <c r="G2" s="70"/>
      <c r="H2" s="70"/>
      <c r="I2" s="70"/>
      <c r="J2" s="70"/>
      <c r="K2" s="70"/>
      <c r="L2" s="70"/>
      <c r="M2" s="70"/>
      <c r="N2" s="70"/>
      <c r="O2" s="70"/>
      <c r="P2" s="70"/>
      <c r="Q2" s="70"/>
      <c r="R2" s="70"/>
      <c r="S2" s="70"/>
      <c r="T2" s="70"/>
      <c r="U2" s="70"/>
    </row>
    <row r="5" spans="2:21" ht="15.75" x14ac:dyDescent="0.25">
      <c r="B5" s="301" t="s">
        <v>645</v>
      </c>
      <c r="C5" s="302"/>
      <c r="D5" s="302"/>
      <c r="E5" s="302"/>
      <c r="F5" s="302"/>
      <c r="G5" s="303"/>
      <c r="I5" s="301" t="s">
        <v>653</v>
      </c>
      <c r="J5" s="302"/>
      <c r="K5" s="302"/>
      <c r="L5" s="302"/>
      <c r="M5" s="302"/>
      <c r="N5" s="303"/>
      <c r="P5" s="301" t="s">
        <v>654</v>
      </c>
      <c r="Q5" s="302"/>
      <c r="R5" s="302"/>
      <c r="S5" s="302"/>
      <c r="T5" s="302"/>
      <c r="U5" s="303"/>
    </row>
    <row r="6" spans="2:21" ht="15.75" x14ac:dyDescent="0.25">
      <c r="B6" s="131" t="s">
        <v>424</v>
      </c>
      <c r="C6" s="131"/>
      <c r="D6" s="131"/>
      <c r="E6" s="131"/>
      <c r="F6" s="131"/>
      <c r="G6" s="131"/>
      <c r="I6" s="131" t="s">
        <v>424</v>
      </c>
      <c r="J6" s="131"/>
      <c r="K6" s="131"/>
      <c r="L6" s="131"/>
      <c r="M6" s="131"/>
      <c r="N6" s="131"/>
      <c r="P6" s="131" t="s">
        <v>424</v>
      </c>
      <c r="Q6" s="131"/>
      <c r="R6" s="131"/>
      <c r="S6" s="131"/>
      <c r="T6" s="131"/>
      <c r="U6" s="131"/>
    </row>
    <row r="7" spans="2:21" x14ac:dyDescent="0.25">
      <c r="B7" s="255" t="s">
        <v>646</v>
      </c>
      <c r="C7" s="255"/>
      <c r="D7" s="255"/>
      <c r="E7" s="255"/>
      <c r="F7" s="304">
        <v>105</v>
      </c>
      <c r="G7" s="304"/>
      <c r="I7" s="255" t="s">
        <v>655</v>
      </c>
      <c r="J7" s="255"/>
      <c r="K7" s="255"/>
      <c r="L7" s="255"/>
      <c r="M7" s="306">
        <v>3065</v>
      </c>
      <c r="N7" s="306"/>
      <c r="P7" s="255" t="s">
        <v>656</v>
      </c>
      <c r="Q7" s="255"/>
      <c r="R7" s="255"/>
      <c r="S7" s="255"/>
      <c r="T7" s="307">
        <v>1000</v>
      </c>
      <c r="U7" s="307"/>
    </row>
    <row r="8" spans="2:21" x14ac:dyDescent="0.25">
      <c r="B8" s="255" t="s">
        <v>647</v>
      </c>
      <c r="C8" s="255"/>
      <c r="D8" s="255"/>
      <c r="E8" s="255"/>
      <c r="F8" s="286">
        <v>0.51</v>
      </c>
      <c r="G8" s="286"/>
      <c r="I8" s="255" t="s">
        <v>352</v>
      </c>
      <c r="J8" s="255"/>
      <c r="K8" s="255"/>
      <c r="L8" s="255"/>
      <c r="M8" s="307">
        <v>3500</v>
      </c>
      <c r="N8" s="307"/>
      <c r="P8" s="255" t="s">
        <v>352</v>
      </c>
      <c r="Q8" s="255"/>
      <c r="R8" s="255"/>
      <c r="S8" s="255"/>
      <c r="T8" s="307">
        <v>1045</v>
      </c>
      <c r="U8" s="307"/>
    </row>
    <row r="9" spans="2:21" x14ac:dyDescent="0.25">
      <c r="B9" s="255" t="s">
        <v>651</v>
      </c>
      <c r="C9" s="255"/>
      <c r="D9" s="255"/>
      <c r="E9" s="255"/>
      <c r="F9" s="286">
        <v>5000</v>
      </c>
      <c r="G9" s="286"/>
      <c r="I9" s="255" t="s">
        <v>651</v>
      </c>
      <c r="J9" s="255"/>
      <c r="K9" s="255"/>
      <c r="L9" s="255"/>
      <c r="M9" s="307">
        <v>1000</v>
      </c>
      <c r="N9" s="307"/>
      <c r="P9" s="255" t="s">
        <v>651</v>
      </c>
      <c r="Q9" s="255"/>
      <c r="R9" s="255"/>
      <c r="S9" s="255"/>
      <c r="T9" s="307">
        <v>8000</v>
      </c>
      <c r="U9" s="307"/>
    </row>
    <row r="10" spans="2:21" x14ac:dyDescent="0.25">
      <c r="G10" s="305"/>
    </row>
    <row r="11" spans="2:21" ht="15.75" x14ac:dyDescent="0.25">
      <c r="B11" s="147" t="s">
        <v>648</v>
      </c>
      <c r="C11" s="147"/>
      <c r="D11" s="147"/>
      <c r="E11" s="147"/>
      <c r="F11" s="147"/>
      <c r="G11" s="147"/>
      <c r="I11" s="147" t="s">
        <v>648</v>
      </c>
      <c r="J11" s="147"/>
      <c r="K11" s="147"/>
      <c r="L11" s="147"/>
      <c r="M11" s="147"/>
      <c r="N11" s="147"/>
      <c r="P11" s="147" t="s">
        <v>648</v>
      </c>
      <c r="Q11" s="147"/>
      <c r="R11" s="147"/>
      <c r="S11" s="147"/>
      <c r="T11" s="147"/>
      <c r="U11" s="147"/>
    </row>
    <row r="12" spans="2:21" ht="15.75" customHeight="1" x14ac:dyDescent="0.25">
      <c r="B12" s="255" t="s">
        <v>652</v>
      </c>
      <c r="C12" s="255"/>
      <c r="D12" s="255"/>
      <c r="E12" s="255"/>
      <c r="F12" s="253">
        <f>ROUNDUP(F9/F8,0)</f>
        <v>9804</v>
      </c>
      <c r="G12" s="253"/>
      <c r="I12" s="255" t="s">
        <v>657</v>
      </c>
      <c r="J12" s="255"/>
      <c r="K12" s="255"/>
      <c r="L12" s="255"/>
      <c r="M12" s="256">
        <f>M9*6</f>
        <v>6000</v>
      </c>
      <c r="N12" s="253"/>
      <c r="P12" s="255" t="s">
        <v>657</v>
      </c>
      <c r="Q12" s="255"/>
      <c r="R12" s="255"/>
      <c r="S12" s="255"/>
      <c r="T12" s="256">
        <f>T9*6</f>
        <v>48000</v>
      </c>
      <c r="U12" s="253"/>
    </row>
    <row r="13" spans="2:21" ht="15.75" customHeight="1" x14ac:dyDescent="0.25">
      <c r="B13" s="255" t="s">
        <v>649</v>
      </c>
      <c r="C13" s="255"/>
      <c r="D13" s="255"/>
      <c r="E13" s="255"/>
      <c r="F13" s="256">
        <f>F12*F7</f>
        <v>1029420</v>
      </c>
      <c r="G13" s="253"/>
      <c r="I13" s="255" t="s">
        <v>658</v>
      </c>
      <c r="J13" s="255"/>
      <c r="K13" s="255"/>
      <c r="L13" s="255"/>
      <c r="M13" s="308">
        <f>((1+6/100)^(1/2))-1</f>
        <v>2.9563014098699991E-2</v>
      </c>
      <c r="N13" s="308"/>
      <c r="P13" s="255" t="s">
        <v>658</v>
      </c>
      <c r="Q13" s="255"/>
      <c r="R13" s="255"/>
      <c r="S13" s="255"/>
      <c r="T13" s="308">
        <f>((1+10/100)^(1/2))-1</f>
        <v>4.8808848170151631E-2</v>
      </c>
      <c r="U13" s="308"/>
    </row>
    <row r="14" spans="2:21" ht="15.75" customHeight="1" x14ac:dyDescent="0.25">
      <c r="B14" s="255" t="s">
        <v>650</v>
      </c>
      <c r="C14" s="255"/>
      <c r="D14" s="255"/>
      <c r="E14" s="255"/>
      <c r="F14" s="256">
        <f>F12*F8</f>
        <v>5000.04</v>
      </c>
      <c r="G14" s="253"/>
      <c r="I14" s="255" t="s">
        <v>659</v>
      </c>
      <c r="J14" s="255"/>
      <c r="K14" s="255"/>
      <c r="L14" s="255"/>
      <c r="M14" s="309">
        <f>M13*M7</f>
        <v>90.610638212515468</v>
      </c>
      <c r="N14" s="309"/>
      <c r="P14" s="255" t="s">
        <v>659</v>
      </c>
      <c r="Q14" s="255"/>
      <c r="R14" s="255"/>
      <c r="S14" s="255"/>
      <c r="T14" s="309">
        <f>T13*T7</f>
        <v>48.808848170151634</v>
      </c>
      <c r="U14" s="309"/>
    </row>
    <row r="15" spans="2:21" ht="15.75" customHeight="1" x14ac:dyDescent="0.25">
      <c r="H15" s="310" t="s">
        <v>666</v>
      </c>
      <c r="I15" s="255" t="s">
        <v>660</v>
      </c>
      <c r="J15" s="255"/>
      <c r="K15" s="255"/>
      <c r="L15" s="255"/>
      <c r="M15" s="253">
        <f>ROUNDUP(M12/M14,0)</f>
        <v>67</v>
      </c>
      <c r="N15" s="253"/>
      <c r="O15" s="310" t="s">
        <v>666</v>
      </c>
      <c r="P15" s="255" t="s">
        <v>660</v>
      </c>
      <c r="Q15" s="255"/>
      <c r="R15" s="255"/>
      <c r="S15" s="255"/>
      <c r="T15" s="253">
        <f>ROUNDUP(T12/T14,0)</f>
        <v>984</v>
      </c>
      <c r="U15" s="253"/>
    </row>
    <row r="16" spans="2:21" ht="15.75" customHeight="1" x14ac:dyDescent="0.25">
      <c r="H16" s="310"/>
      <c r="I16" s="255" t="s">
        <v>661</v>
      </c>
      <c r="J16" s="255"/>
      <c r="K16" s="255"/>
      <c r="L16" s="255"/>
      <c r="M16" s="256">
        <f>M15*M8</f>
        <v>234500</v>
      </c>
      <c r="N16" s="253"/>
      <c r="O16" s="310"/>
      <c r="P16" s="255" t="s">
        <v>661</v>
      </c>
      <c r="Q16" s="255"/>
      <c r="R16" s="255"/>
      <c r="S16" s="255"/>
      <c r="T16" s="256">
        <f>T15*T8</f>
        <v>1028280</v>
      </c>
      <c r="U16" s="253"/>
    </row>
    <row r="17" spans="8:21" ht="15.75" customHeight="1" x14ac:dyDescent="0.25">
      <c r="H17" s="310"/>
      <c r="I17" s="255" t="s">
        <v>662</v>
      </c>
      <c r="J17" s="255"/>
      <c r="K17" s="255"/>
      <c r="L17" s="255"/>
      <c r="M17" s="256">
        <f>M14*M15</f>
        <v>6070.9127602385361</v>
      </c>
      <c r="N17" s="253"/>
      <c r="O17" s="310"/>
      <c r="P17" s="255" t="s">
        <v>662</v>
      </c>
      <c r="Q17" s="255"/>
      <c r="R17" s="255"/>
      <c r="S17" s="255"/>
      <c r="T17" s="256">
        <f>T14*T15</f>
        <v>48027.90659942921</v>
      </c>
      <c r="U17" s="253"/>
    </row>
    <row r="18" spans="8:21" ht="15.75" customHeight="1" x14ac:dyDescent="0.25">
      <c r="I18" s="255" t="s">
        <v>663</v>
      </c>
      <c r="J18" s="255"/>
      <c r="K18" s="255"/>
      <c r="L18" s="255"/>
      <c r="M18" s="291">
        <v>0.22500000000000001</v>
      </c>
      <c r="N18" s="291"/>
      <c r="P18" s="255" t="s">
        <v>663</v>
      </c>
      <c r="Q18" s="255"/>
      <c r="R18" s="255"/>
      <c r="S18" s="255"/>
      <c r="T18" s="291">
        <v>0.22500000000000001</v>
      </c>
      <c r="U18" s="291"/>
    </row>
    <row r="19" spans="8:21" ht="15.75" customHeight="1" x14ac:dyDescent="0.25">
      <c r="I19" s="255" t="s">
        <v>664</v>
      </c>
      <c r="J19" s="255"/>
      <c r="K19" s="255"/>
      <c r="L19" s="255"/>
      <c r="M19" s="256">
        <f>M14-(M14*M18)</f>
        <v>70.223244614699496</v>
      </c>
      <c r="N19" s="253"/>
      <c r="P19" s="255" t="s">
        <v>664</v>
      </c>
      <c r="Q19" s="255"/>
      <c r="R19" s="255"/>
      <c r="S19" s="255"/>
      <c r="T19" s="256">
        <f>T14-(T14*T18)</f>
        <v>37.826857331867515</v>
      </c>
      <c r="U19" s="253"/>
    </row>
    <row r="20" spans="8:21" ht="15.75" customHeight="1" x14ac:dyDescent="0.25">
      <c r="H20" s="310" t="s">
        <v>667</v>
      </c>
      <c r="I20" s="255" t="s">
        <v>660</v>
      </c>
      <c r="J20" s="255"/>
      <c r="K20" s="255"/>
      <c r="L20" s="255"/>
      <c r="M20" s="253">
        <f>ROUNDUP(M12/M19,0)</f>
        <v>86</v>
      </c>
      <c r="N20" s="253"/>
      <c r="O20" s="310" t="s">
        <v>667</v>
      </c>
      <c r="P20" s="255" t="s">
        <v>660</v>
      </c>
      <c r="Q20" s="255"/>
      <c r="R20" s="255"/>
      <c r="S20" s="255"/>
      <c r="T20" s="253">
        <f>ROUNDUP(T12/T19,0)</f>
        <v>1269</v>
      </c>
      <c r="U20" s="253"/>
    </row>
    <row r="21" spans="8:21" ht="15.75" customHeight="1" x14ac:dyDescent="0.25">
      <c r="H21" s="310"/>
      <c r="I21" s="255" t="s">
        <v>661</v>
      </c>
      <c r="J21" s="255"/>
      <c r="K21" s="255"/>
      <c r="L21" s="255"/>
      <c r="M21" s="256">
        <f>M20*M8</f>
        <v>301000</v>
      </c>
      <c r="N21" s="253"/>
      <c r="O21" s="310"/>
      <c r="P21" s="255" t="s">
        <v>661</v>
      </c>
      <c r="Q21" s="255"/>
      <c r="R21" s="255"/>
      <c r="S21" s="255"/>
      <c r="T21" s="256">
        <f>T20*T8</f>
        <v>1326105</v>
      </c>
      <c r="U21" s="253"/>
    </row>
    <row r="22" spans="8:21" ht="15.75" customHeight="1" x14ac:dyDescent="0.25">
      <c r="H22" s="310"/>
      <c r="I22" s="255" t="s">
        <v>665</v>
      </c>
      <c r="J22" s="255"/>
      <c r="K22" s="255"/>
      <c r="L22" s="255"/>
      <c r="M22" s="311">
        <f>M20*M19</f>
        <v>6039.1990368641564</v>
      </c>
      <c r="N22" s="311"/>
      <c r="O22" s="310"/>
      <c r="P22" s="255" t="s">
        <v>665</v>
      </c>
      <c r="Q22" s="255"/>
      <c r="R22" s="255"/>
      <c r="S22" s="255"/>
      <c r="T22" s="311">
        <f>T20*T19</f>
        <v>48002.281954139879</v>
      </c>
      <c r="U22" s="311"/>
    </row>
  </sheetData>
  <mergeCells count="82">
    <mergeCell ref="T21:U21"/>
    <mergeCell ref="P22:S22"/>
    <mergeCell ref="T22:U22"/>
    <mergeCell ref="H15:H17"/>
    <mergeCell ref="H20:H22"/>
    <mergeCell ref="O15:O17"/>
    <mergeCell ref="O20:O22"/>
    <mergeCell ref="T18:U18"/>
    <mergeCell ref="P19:S19"/>
    <mergeCell ref="T19:U19"/>
    <mergeCell ref="P20:S20"/>
    <mergeCell ref="T20:U20"/>
    <mergeCell ref="T15:U15"/>
    <mergeCell ref="P16:S16"/>
    <mergeCell ref="T16:U16"/>
    <mergeCell ref="P17:S17"/>
    <mergeCell ref="T17:U17"/>
    <mergeCell ref="T12:U12"/>
    <mergeCell ref="P13:S13"/>
    <mergeCell ref="T13:U13"/>
    <mergeCell ref="P14:S14"/>
    <mergeCell ref="T14:U14"/>
    <mergeCell ref="I21:L21"/>
    <mergeCell ref="I22:L22"/>
    <mergeCell ref="M21:N21"/>
    <mergeCell ref="M22:N22"/>
    <mergeCell ref="P12:S12"/>
    <mergeCell ref="P15:S15"/>
    <mergeCell ref="P18:S18"/>
    <mergeCell ref="P21:S21"/>
    <mergeCell ref="M17:N17"/>
    <mergeCell ref="M18:N18"/>
    <mergeCell ref="M19:N19"/>
    <mergeCell ref="M20:N20"/>
    <mergeCell ref="I12:L12"/>
    <mergeCell ref="I13:L13"/>
    <mergeCell ref="I14:L14"/>
    <mergeCell ref="I15:L15"/>
    <mergeCell ref="I16:L16"/>
    <mergeCell ref="I17:L17"/>
    <mergeCell ref="I18:L18"/>
    <mergeCell ref="I19:L19"/>
    <mergeCell ref="I20:L20"/>
    <mergeCell ref="M12:N12"/>
    <mergeCell ref="M13:N13"/>
    <mergeCell ref="M14:N14"/>
    <mergeCell ref="M15:N15"/>
    <mergeCell ref="M16:N16"/>
    <mergeCell ref="I11:N11"/>
    <mergeCell ref="P11:U11"/>
    <mergeCell ref="I7:L7"/>
    <mergeCell ref="I8:L8"/>
    <mergeCell ref="I9:L9"/>
    <mergeCell ref="P8:S8"/>
    <mergeCell ref="P9:S9"/>
    <mergeCell ref="M7:N7"/>
    <mergeCell ref="M8:N8"/>
    <mergeCell ref="M9:N9"/>
    <mergeCell ref="T7:U7"/>
    <mergeCell ref="T8:U8"/>
    <mergeCell ref="T9:U9"/>
    <mergeCell ref="P7:S7"/>
    <mergeCell ref="I5:N5"/>
    <mergeCell ref="P5:U5"/>
    <mergeCell ref="B2:U2"/>
    <mergeCell ref="I6:N6"/>
    <mergeCell ref="P6:U6"/>
    <mergeCell ref="B13:E13"/>
    <mergeCell ref="B14:E14"/>
    <mergeCell ref="F12:G12"/>
    <mergeCell ref="F13:G13"/>
    <mergeCell ref="F14:G14"/>
    <mergeCell ref="B11:G11"/>
    <mergeCell ref="B12:E12"/>
    <mergeCell ref="B7:E7"/>
    <mergeCell ref="B8:E8"/>
    <mergeCell ref="B9:E9"/>
    <mergeCell ref="F7:G7"/>
    <mergeCell ref="F8:G8"/>
    <mergeCell ref="F9:G9"/>
    <mergeCell ref="B6:G6"/>
    <mergeCell ref="B5:G5"/>
  </mergeCells>
  <hyperlinks>
    <hyperlink ref="I7:L7" r:id="rId1" display="VNA" xr:uid="{BCF96FF1-0B62-4F56-921B-128E4831DC6F}"/>
  </hyperlinks>
  <pageMargins left="0.511811024" right="0.511811024" top="0.78740157499999996" bottom="0.78740157499999996" header="0.31496062000000002" footer="0.31496062000000002"/>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BB378-CA5D-4CB6-820A-64C24A58FAD3}">
  <sheetPr>
    <tabColor theme="4" tint="-0.249977111117893"/>
  </sheetPr>
  <dimension ref="C2:Q2"/>
  <sheetViews>
    <sheetView workbookViewId="0"/>
  </sheetViews>
  <sheetFormatPr defaultRowHeight="15" x14ac:dyDescent="0.25"/>
  <cols>
    <col min="1" max="4" width="10.7109375" style="1" customWidth="1"/>
    <col min="5" max="16384" width="9.140625" style="1"/>
  </cols>
  <sheetData>
    <row r="2" spans="3:17" ht="32.25" x14ac:dyDescent="0.25">
      <c r="C2" s="70" t="s">
        <v>32</v>
      </c>
      <c r="D2" s="70"/>
      <c r="E2" s="70"/>
      <c r="F2" s="70"/>
      <c r="G2" s="70"/>
      <c r="H2" s="70"/>
      <c r="I2" s="70"/>
      <c r="J2" s="70"/>
      <c r="K2" s="70"/>
      <c r="L2" s="70"/>
      <c r="M2" s="70"/>
      <c r="N2" s="70"/>
      <c r="O2" s="70"/>
      <c r="P2" s="70"/>
      <c r="Q2" s="70"/>
    </row>
  </sheetData>
  <mergeCells count="1">
    <mergeCell ref="C2:Q2"/>
  </mergeCells>
  <pageMargins left="0.511811024" right="0.511811024" top="0.78740157499999996" bottom="0.78740157499999996" header="0.31496062000000002" footer="0.31496062000000002"/>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3EDE2-A38D-4AC5-8717-366DBAA1BC8D}">
  <sheetPr>
    <tabColor theme="4" tint="-0.499984740745262"/>
  </sheetPr>
  <dimension ref="E2:O36"/>
  <sheetViews>
    <sheetView workbookViewId="0">
      <selection activeCell="E2" sqref="E2:O2"/>
    </sheetView>
  </sheetViews>
  <sheetFormatPr defaultRowHeight="15" x14ac:dyDescent="0.25"/>
  <cols>
    <col min="1" max="4" width="10.7109375" style="1" customWidth="1"/>
    <col min="5" max="16384" width="9.140625" style="1"/>
  </cols>
  <sheetData>
    <row r="2" spans="5:15" ht="32.25" x14ac:dyDescent="0.25">
      <c r="E2" s="70" t="s">
        <v>33</v>
      </c>
      <c r="F2" s="70"/>
      <c r="G2" s="70"/>
      <c r="H2" s="70"/>
      <c r="I2" s="70"/>
      <c r="J2" s="70"/>
      <c r="K2" s="70"/>
      <c r="L2" s="70"/>
      <c r="M2" s="70"/>
      <c r="N2" s="70"/>
      <c r="O2" s="70"/>
    </row>
    <row r="5" spans="5:15" x14ac:dyDescent="0.25">
      <c r="E5" s="98" t="s">
        <v>173</v>
      </c>
      <c r="F5" s="98"/>
      <c r="G5" s="98"/>
      <c r="H5" s="98"/>
      <c r="I5" s="98"/>
      <c r="J5" s="98"/>
      <c r="K5" s="98"/>
      <c r="L5" s="98"/>
      <c r="M5" s="98"/>
      <c r="N5" s="98"/>
      <c r="O5" s="98"/>
    </row>
    <row r="7" spans="5:15" ht="15" customHeight="1" x14ac:dyDescent="0.25">
      <c r="E7" s="238" t="s">
        <v>193</v>
      </c>
      <c r="F7" s="238"/>
      <c r="G7" s="238" t="s">
        <v>190</v>
      </c>
      <c r="H7" s="238" t="s">
        <v>192</v>
      </c>
      <c r="I7" s="238"/>
      <c r="K7" s="245" t="s">
        <v>191</v>
      </c>
      <c r="L7" s="246"/>
      <c r="M7" s="243" t="s">
        <v>190</v>
      </c>
      <c r="N7" s="238" t="s">
        <v>189</v>
      </c>
      <c r="O7" s="238"/>
    </row>
    <row r="8" spans="5:15" x14ac:dyDescent="0.25">
      <c r="E8" s="238"/>
      <c r="F8" s="238"/>
      <c r="G8" s="238"/>
      <c r="H8" s="238"/>
      <c r="I8" s="238"/>
      <c r="K8" s="247"/>
      <c r="L8" s="248"/>
      <c r="M8" s="244"/>
      <c r="N8" s="238"/>
      <c r="O8" s="238"/>
    </row>
    <row r="9" spans="5:15" ht="15.75" x14ac:dyDescent="0.25">
      <c r="E9" s="239" t="s">
        <v>194</v>
      </c>
      <c r="F9" s="239"/>
      <c r="G9" s="159" t="s">
        <v>188</v>
      </c>
      <c r="H9" s="159" t="s">
        <v>188</v>
      </c>
      <c r="I9" s="159"/>
      <c r="J9" s="2"/>
      <c r="K9" s="239" t="s">
        <v>199</v>
      </c>
      <c r="L9" s="239"/>
      <c r="M9" s="159" t="s">
        <v>188</v>
      </c>
      <c r="N9" s="159" t="s">
        <v>187</v>
      </c>
      <c r="O9" s="159"/>
    </row>
    <row r="10" spans="5:15" ht="15.75" x14ac:dyDescent="0.25">
      <c r="E10" s="239"/>
      <c r="F10" s="239"/>
      <c r="G10" s="159"/>
      <c r="H10" s="159"/>
      <c r="I10" s="159"/>
      <c r="J10" s="2"/>
      <c r="K10" s="239"/>
      <c r="L10" s="239"/>
      <c r="M10" s="159"/>
      <c r="N10" s="159"/>
      <c r="O10" s="159"/>
    </row>
    <row r="11" spans="5:15" ht="15.75" x14ac:dyDescent="0.25">
      <c r="E11" s="239" t="s">
        <v>195</v>
      </c>
      <c r="F11" s="239"/>
      <c r="G11" s="240">
        <v>7.4999999999999997E-2</v>
      </c>
      <c r="H11" s="231">
        <v>142.80000000000001</v>
      </c>
      <c r="I11" s="231"/>
      <c r="J11" s="2"/>
      <c r="K11" s="239" t="s">
        <v>200</v>
      </c>
      <c r="L11" s="239"/>
      <c r="M11" s="240">
        <v>7.4999999999999997E-2</v>
      </c>
      <c r="N11" s="231">
        <v>1713.58</v>
      </c>
      <c r="O11" s="231"/>
    </row>
    <row r="12" spans="5:15" ht="15.75" x14ac:dyDescent="0.25">
      <c r="E12" s="239"/>
      <c r="F12" s="239"/>
      <c r="G12" s="159"/>
      <c r="H12" s="231"/>
      <c r="I12" s="231"/>
      <c r="J12" s="2"/>
      <c r="K12" s="239"/>
      <c r="L12" s="239"/>
      <c r="M12" s="159"/>
      <c r="N12" s="231"/>
      <c r="O12" s="231"/>
    </row>
    <row r="13" spans="5:15" ht="15.75" x14ac:dyDescent="0.25">
      <c r="E13" s="239" t="s">
        <v>196</v>
      </c>
      <c r="F13" s="239"/>
      <c r="G13" s="241">
        <v>0.15</v>
      </c>
      <c r="H13" s="231">
        <v>354.8</v>
      </c>
      <c r="I13" s="231"/>
      <c r="J13" s="2"/>
      <c r="K13" s="239" t="s">
        <v>201</v>
      </c>
      <c r="L13" s="239"/>
      <c r="M13" s="241">
        <v>0.15</v>
      </c>
      <c r="N13" s="231">
        <v>4257.57</v>
      </c>
      <c r="O13" s="231"/>
    </row>
    <row r="14" spans="5:15" ht="15.75" x14ac:dyDescent="0.25">
      <c r="E14" s="239"/>
      <c r="F14" s="239"/>
      <c r="G14" s="159"/>
      <c r="H14" s="231"/>
      <c r="I14" s="231"/>
      <c r="J14" s="2"/>
      <c r="K14" s="239"/>
      <c r="L14" s="239"/>
      <c r="M14" s="159"/>
      <c r="N14" s="231"/>
      <c r="O14" s="231"/>
    </row>
    <row r="15" spans="5:15" ht="15.75" x14ac:dyDescent="0.25">
      <c r="E15" s="239" t="s">
        <v>197</v>
      </c>
      <c r="F15" s="239"/>
      <c r="G15" s="240">
        <v>0.22500000000000001</v>
      </c>
      <c r="H15" s="231">
        <v>636.13</v>
      </c>
      <c r="I15" s="231"/>
      <c r="J15" s="2"/>
      <c r="K15" s="239" t="s">
        <v>202</v>
      </c>
      <c r="L15" s="239"/>
      <c r="M15" s="240">
        <v>0.22500000000000001</v>
      </c>
      <c r="N15" s="231">
        <v>7633.51</v>
      </c>
      <c r="O15" s="231"/>
    </row>
    <row r="16" spans="5:15" ht="15.75" x14ac:dyDescent="0.25">
      <c r="E16" s="239"/>
      <c r="F16" s="239"/>
      <c r="G16" s="159"/>
      <c r="H16" s="231"/>
      <c r="I16" s="231"/>
      <c r="J16" s="2"/>
      <c r="K16" s="239"/>
      <c r="L16" s="239"/>
      <c r="M16" s="159"/>
      <c r="N16" s="231"/>
      <c r="O16" s="231"/>
    </row>
    <row r="17" spans="5:15" ht="15.75" x14ac:dyDescent="0.25">
      <c r="E17" s="239" t="s">
        <v>198</v>
      </c>
      <c r="F17" s="239"/>
      <c r="G17" s="240">
        <v>0.27500000000000002</v>
      </c>
      <c r="H17" s="231">
        <v>869.36</v>
      </c>
      <c r="I17" s="231"/>
      <c r="J17" s="2"/>
      <c r="K17" s="239" t="s">
        <v>203</v>
      </c>
      <c r="L17" s="239"/>
      <c r="M17" s="240">
        <v>0.27500000000000002</v>
      </c>
      <c r="N17" s="231">
        <v>10432.32</v>
      </c>
      <c r="O17" s="231"/>
    </row>
    <row r="18" spans="5:15" ht="15.75" x14ac:dyDescent="0.25">
      <c r="E18" s="239"/>
      <c r="F18" s="239"/>
      <c r="G18" s="159"/>
      <c r="H18" s="231"/>
      <c r="I18" s="231"/>
      <c r="J18" s="23"/>
      <c r="K18" s="239"/>
      <c r="L18" s="239"/>
      <c r="M18" s="159"/>
      <c r="N18" s="231"/>
      <c r="O18" s="231"/>
    </row>
    <row r="19" spans="5:15" x14ac:dyDescent="0.25">
      <c r="E19" s="21"/>
      <c r="F19" s="21"/>
      <c r="G19" s="21"/>
      <c r="I19" s="21"/>
      <c r="J19" s="21"/>
      <c r="K19" s="21"/>
    </row>
    <row r="20" spans="5:15" x14ac:dyDescent="0.25">
      <c r="E20" s="98" t="s">
        <v>173</v>
      </c>
      <c r="F20" s="98"/>
      <c r="G20" s="98"/>
      <c r="H20" s="98"/>
      <c r="I20" s="98"/>
      <c r="J20" s="98"/>
      <c r="K20" s="98"/>
      <c r="L20" s="98"/>
      <c r="M20" s="98"/>
      <c r="N20" s="98"/>
      <c r="O20" s="98"/>
    </row>
    <row r="22" spans="5:15" ht="15.75" x14ac:dyDescent="0.25">
      <c r="H22" s="131" t="s">
        <v>180</v>
      </c>
      <c r="I22" s="131"/>
      <c r="J22" s="131"/>
      <c r="K22" s="131" t="s">
        <v>181</v>
      </c>
      <c r="L22" s="131"/>
    </row>
    <row r="23" spans="5:15" ht="15.75" x14ac:dyDescent="0.25">
      <c r="H23" s="249" t="s">
        <v>174</v>
      </c>
      <c r="I23" s="249"/>
      <c r="J23" s="249"/>
      <c r="K23" s="242">
        <v>0.35</v>
      </c>
      <c r="L23" s="242"/>
    </row>
    <row r="24" spans="5:15" ht="15.75" x14ac:dyDescent="0.25">
      <c r="H24" s="249" t="s">
        <v>175</v>
      </c>
      <c r="I24" s="249"/>
      <c r="J24" s="249"/>
      <c r="K24" s="242">
        <v>0.3</v>
      </c>
      <c r="L24" s="242"/>
    </row>
    <row r="25" spans="5:15" ht="15.75" x14ac:dyDescent="0.25">
      <c r="H25" s="249" t="s">
        <v>176</v>
      </c>
      <c r="I25" s="249"/>
      <c r="J25" s="249"/>
      <c r="K25" s="242">
        <v>0.25</v>
      </c>
      <c r="L25" s="242"/>
    </row>
    <row r="26" spans="5:15" ht="15.75" x14ac:dyDescent="0.25">
      <c r="H26" s="249" t="s">
        <v>177</v>
      </c>
      <c r="I26" s="249"/>
      <c r="J26" s="249"/>
      <c r="K26" s="242">
        <v>0.2</v>
      </c>
      <c r="L26" s="242"/>
    </row>
    <row r="27" spans="5:15" ht="15.75" x14ac:dyDescent="0.25">
      <c r="H27" s="249" t="s">
        <v>179</v>
      </c>
      <c r="I27" s="249"/>
      <c r="J27" s="249"/>
      <c r="K27" s="242">
        <v>0.15</v>
      </c>
      <c r="L27" s="242"/>
    </row>
    <row r="28" spans="5:15" ht="15.75" x14ac:dyDescent="0.25">
      <c r="H28" s="249" t="s">
        <v>178</v>
      </c>
      <c r="I28" s="249"/>
      <c r="J28" s="249"/>
      <c r="K28" s="242">
        <v>0.1</v>
      </c>
      <c r="L28" s="242"/>
    </row>
    <row r="30" spans="5:15" x14ac:dyDescent="0.25">
      <c r="E30" s="98" t="s">
        <v>182</v>
      </c>
      <c r="F30" s="98"/>
      <c r="G30" s="98"/>
      <c r="H30" s="98"/>
      <c r="I30" s="98"/>
      <c r="J30" s="98"/>
      <c r="K30" s="98"/>
      <c r="L30" s="98"/>
      <c r="M30" s="98"/>
      <c r="N30" s="98"/>
      <c r="O30" s="98"/>
    </row>
    <row r="32" spans="5:15" ht="15.75" x14ac:dyDescent="0.25">
      <c r="H32" s="131" t="s">
        <v>180</v>
      </c>
      <c r="I32" s="131"/>
      <c r="J32" s="131"/>
      <c r="K32" s="131" t="s">
        <v>181</v>
      </c>
      <c r="L32" s="131"/>
    </row>
    <row r="33" spans="8:12" ht="15.75" x14ac:dyDescent="0.25">
      <c r="H33" s="249" t="s">
        <v>186</v>
      </c>
      <c r="I33" s="249"/>
      <c r="J33" s="249"/>
      <c r="K33" s="250">
        <v>0.22500000000000001</v>
      </c>
      <c r="L33" s="250"/>
    </row>
    <row r="34" spans="8:12" ht="15.75" x14ac:dyDescent="0.25">
      <c r="H34" s="249" t="s">
        <v>185</v>
      </c>
      <c r="I34" s="249"/>
      <c r="J34" s="249"/>
      <c r="K34" s="242">
        <v>0.2</v>
      </c>
      <c r="L34" s="242"/>
    </row>
    <row r="35" spans="8:12" ht="15.75" x14ac:dyDescent="0.25">
      <c r="H35" s="249" t="s">
        <v>184</v>
      </c>
      <c r="I35" s="249"/>
      <c r="J35" s="249"/>
      <c r="K35" s="250">
        <v>0.17499999999999999</v>
      </c>
      <c r="L35" s="250"/>
    </row>
    <row r="36" spans="8:12" ht="15.75" x14ac:dyDescent="0.25">
      <c r="H36" s="249" t="s">
        <v>183</v>
      </c>
      <c r="I36" s="249"/>
      <c r="J36" s="249"/>
      <c r="K36" s="242">
        <v>0.15</v>
      </c>
      <c r="L36" s="242"/>
    </row>
  </sheetData>
  <mergeCells count="64">
    <mergeCell ref="E2:O2"/>
    <mergeCell ref="E20:O20"/>
    <mergeCell ref="H28:J28"/>
    <mergeCell ref="H27:J27"/>
    <mergeCell ref="H26:J26"/>
    <mergeCell ref="H25:J25"/>
    <mergeCell ref="H24:J24"/>
    <mergeCell ref="H23:J23"/>
    <mergeCell ref="H22:J22"/>
    <mergeCell ref="K28:L28"/>
    <mergeCell ref="N7:O8"/>
    <mergeCell ref="H7:I8"/>
    <mergeCell ref="E5:O5"/>
    <mergeCell ref="K27:L27"/>
    <mergeCell ref="K26:L26"/>
    <mergeCell ref="K25:L25"/>
    <mergeCell ref="H36:J36"/>
    <mergeCell ref="K36:L36"/>
    <mergeCell ref="E30:O30"/>
    <mergeCell ref="H32:J32"/>
    <mergeCell ref="K32:L32"/>
    <mergeCell ref="H33:J33"/>
    <mergeCell ref="K33:L33"/>
    <mergeCell ref="H34:J34"/>
    <mergeCell ref="K34:L34"/>
    <mergeCell ref="H35:J35"/>
    <mergeCell ref="K35:L35"/>
    <mergeCell ref="K24:L24"/>
    <mergeCell ref="K23:L23"/>
    <mergeCell ref="K22:L22"/>
    <mergeCell ref="M7:M8"/>
    <mergeCell ref="G7:G8"/>
    <mergeCell ref="K7:L8"/>
    <mergeCell ref="M17:M18"/>
    <mergeCell ref="M15:M16"/>
    <mergeCell ref="M13:M14"/>
    <mergeCell ref="M11:M12"/>
    <mergeCell ref="M9:M10"/>
    <mergeCell ref="G17:G18"/>
    <mergeCell ref="H17:I18"/>
    <mergeCell ref="H15:I16"/>
    <mergeCell ref="H13:I14"/>
    <mergeCell ref="H11:I12"/>
    <mergeCell ref="E7:F8"/>
    <mergeCell ref="E17:F18"/>
    <mergeCell ref="K15:L16"/>
    <mergeCell ref="K17:L18"/>
    <mergeCell ref="K9:L10"/>
    <mergeCell ref="K11:L12"/>
    <mergeCell ref="K13:L14"/>
    <mergeCell ref="G9:G10"/>
    <mergeCell ref="G11:G12"/>
    <mergeCell ref="G13:G14"/>
    <mergeCell ref="G15:G16"/>
    <mergeCell ref="E11:F12"/>
    <mergeCell ref="E9:F10"/>
    <mergeCell ref="E13:F14"/>
    <mergeCell ref="E15:F16"/>
    <mergeCell ref="H9:I10"/>
    <mergeCell ref="N17:O18"/>
    <mergeCell ref="N15:O16"/>
    <mergeCell ref="N13:O14"/>
    <mergeCell ref="N11:O12"/>
    <mergeCell ref="N9:O10"/>
  </mergeCell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D3EB2-C5BE-42DB-9012-464E162F064D}">
  <sheetPr>
    <tabColor theme="4" tint="-0.249977111117893"/>
  </sheetPr>
  <dimension ref="B2:T34"/>
  <sheetViews>
    <sheetView workbookViewId="0"/>
  </sheetViews>
  <sheetFormatPr defaultRowHeight="15" x14ac:dyDescent="0.25"/>
  <cols>
    <col min="1" max="1" width="7.85546875" style="1" customWidth="1"/>
    <col min="2" max="2" width="7.140625" style="1" customWidth="1"/>
    <col min="3" max="4" width="10.7109375" style="1" customWidth="1"/>
    <col min="5" max="5" width="5.7109375" style="1" customWidth="1"/>
    <col min="6" max="20" width="9.28515625" style="1" customWidth="1"/>
    <col min="21" max="16384" width="9.140625" style="1"/>
  </cols>
  <sheetData>
    <row r="2" spans="2:20" ht="32.25" x14ac:dyDescent="0.25">
      <c r="B2" s="70" t="s">
        <v>161</v>
      </c>
      <c r="C2" s="70"/>
      <c r="D2" s="70"/>
      <c r="E2" s="70"/>
      <c r="F2" s="70"/>
      <c r="G2" s="70"/>
      <c r="H2" s="70"/>
      <c r="I2" s="70"/>
      <c r="J2" s="70"/>
      <c r="K2" s="70"/>
      <c r="L2" s="70"/>
      <c r="M2" s="70"/>
      <c r="N2" s="70"/>
      <c r="O2" s="70"/>
      <c r="P2" s="70"/>
      <c r="Q2" s="70"/>
      <c r="R2" s="70"/>
      <c r="S2" s="70"/>
      <c r="T2" s="70"/>
    </row>
    <row r="5" spans="2:20" ht="15.75" x14ac:dyDescent="0.25">
      <c r="B5" s="284" t="s">
        <v>522</v>
      </c>
      <c r="C5" s="280" t="s">
        <v>204</v>
      </c>
      <c r="D5" s="251"/>
      <c r="F5" s="287" t="s">
        <v>335</v>
      </c>
      <c r="G5" s="287"/>
      <c r="H5" s="287"/>
      <c r="I5" s="287"/>
      <c r="J5" s="287"/>
      <c r="K5" s="287"/>
      <c r="L5" s="287"/>
      <c r="M5" s="287"/>
      <c r="N5" s="287"/>
      <c r="O5" s="287"/>
      <c r="P5" s="287"/>
      <c r="Q5" s="287"/>
      <c r="R5" s="287"/>
      <c r="S5" s="287"/>
      <c r="T5" s="287"/>
    </row>
    <row r="6" spans="2:20" x14ac:dyDescent="0.25">
      <c r="B6" s="284"/>
      <c r="C6" s="281" t="s">
        <v>525</v>
      </c>
      <c r="D6" s="61"/>
      <c r="F6" s="285" t="s">
        <v>526</v>
      </c>
      <c r="G6" s="285"/>
      <c r="H6" s="285"/>
      <c r="I6" s="286">
        <v>100000</v>
      </c>
      <c r="J6" s="286"/>
      <c r="K6" s="286"/>
      <c r="L6" s="286"/>
      <c r="M6" s="286"/>
      <c r="N6" s="286"/>
      <c r="O6" s="286"/>
      <c r="P6" s="286"/>
      <c r="Q6" s="286"/>
      <c r="R6" s="286"/>
      <c r="S6" s="286"/>
      <c r="T6" s="286"/>
    </row>
    <row r="7" spans="2:20" x14ac:dyDescent="0.25">
      <c r="B7" s="284"/>
      <c r="F7" s="285" t="s">
        <v>527</v>
      </c>
      <c r="G7" s="285"/>
      <c r="H7" s="285"/>
      <c r="I7" s="258" t="s">
        <v>528</v>
      </c>
      <c r="J7" s="258" t="s">
        <v>529</v>
      </c>
      <c r="K7" s="258" t="s">
        <v>530</v>
      </c>
      <c r="L7" s="258" t="s">
        <v>531</v>
      </c>
      <c r="M7" s="258" t="s">
        <v>532</v>
      </c>
      <c r="N7" s="258" t="s">
        <v>533</v>
      </c>
      <c r="O7" s="258" t="s">
        <v>534</v>
      </c>
      <c r="P7" s="258" t="s">
        <v>535</v>
      </c>
      <c r="Q7" s="258" t="s">
        <v>536</v>
      </c>
      <c r="R7" s="258" t="s">
        <v>537</v>
      </c>
      <c r="S7" s="258" t="s">
        <v>538</v>
      </c>
      <c r="T7" s="258" t="s">
        <v>539</v>
      </c>
    </row>
    <row r="8" spans="2:20" x14ac:dyDescent="0.25">
      <c r="B8" s="284"/>
      <c r="C8" s="280" t="s">
        <v>523</v>
      </c>
      <c r="D8" s="251"/>
      <c r="F8" s="285" t="s">
        <v>152</v>
      </c>
      <c r="G8" s="285"/>
      <c r="H8" s="285"/>
      <c r="I8" s="272">
        <v>2.3999999999999998E-3</v>
      </c>
      <c r="J8" s="272">
        <v>1.8E-3</v>
      </c>
      <c r="K8" s="272">
        <v>1.9E-3</v>
      </c>
      <c r="L8" s="272">
        <v>1.9E-3</v>
      </c>
      <c r="M8" s="272">
        <v>1.8E-3</v>
      </c>
      <c r="N8" s="272">
        <v>2.7000000000000001E-3</v>
      </c>
      <c r="O8" s="272">
        <v>2.8E-3</v>
      </c>
      <c r="P8" s="272">
        <v>3.0000000000000001E-3</v>
      </c>
      <c r="Q8" s="272">
        <v>2.5000000000000001E-3</v>
      </c>
      <c r="R8" s="272">
        <v>2.8999999999999998E-3</v>
      </c>
      <c r="S8" s="272">
        <v>2.5999999999999999E-3</v>
      </c>
      <c r="T8" s="272">
        <v>2.5000000000000001E-3</v>
      </c>
    </row>
    <row r="9" spans="2:20" x14ac:dyDescent="0.25">
      <c r="B9" s="284"/>
      <c r="C9" s="282">
        <v>2.9000000000000001E-2</v>
      </c>
      <c r="D9" s="278"/>
    </row>
    <row r="10" spans="2:20" x14ac:dyDescent="0.25">
      <c r="B10" s="284"/>
      <c r="F10" s="285" t="s">
        <v>542</v>
      </c>
      <c r="G10" s="285"/>
      <c r="H10" s="285"/>
      <c r="I10" s="288">
        <f>1+I8</f>
        <v>1.0024</v>
      </c>
      <c r="J10" s="288">
        <f t="shared" ref="J10:T10" si="0">1+J8</f>
        <v>1.0018</v>
      </c>
      <c r="K10" s="288">
        <f t="shared" si="0"/>
        <v>1.0019</v>
      </c>
      <c r="L10" s="288">
        <f t="shared" si="0"/>
        <v>1.0019</v>
      </c>
      <c r="M10" s="288">
        <f t="shared" si="0"/>
        <v>1.0018</v>
      </c>
      <c r="N10" s="288">
        <f t="shared" si="0"/>
        <v>1.0026999999999999</v>
      </c>
      <c r="O10" s="288">
        <f t="shared" si="0"/>
        <v>1.0027999999999999</v>
      </c>
      <c r="P10" s="288">
        <f t="shared" si="0"/>
        <v>1.0029999999999999</v>
      </c>
      <c r="Q10" s="288">
        <f t="shared" si="0"/>
        <v>1.0024999999999999</v>
      </c>
      <c r="R10" s="288">
        <f t="shared" si="0"/>
        <v>1.0028999999999999</v>
      </c>
      <c r="S10" s="288">
        <f t="shared" si="0"/>
        <v>1.0025999999999999</v>
      </c>
      <c r="T10" s="288">
        <f t="shared" si="0"/>
        <v>1.0024999999999999</v>
      </c>
    </row>
    <row r="11" spans="2:20" x14ac:dyDescent="0.25">
      <c r="B11" s="284"/>
      <c r="C11" s="280" t="s">
        <v>524</v>
      </c>
      <c r="D11" s="251"/>
      <c r="F11" s="285" t="s">
        <v>540</v>
      </c>
      <c r="G11" s="285"/>
      <c r="H11" s="285"/>
      <c r="I11" s="289">
        <f>(I10*(1+$C$12))-1</f>
        <v>4.7908522810644616E-3</v>
      </c>
      <c r="J11" s="289">
        <f t="shared" ref="J11:T11" si="1">(J10*(1+$C$12))-1</f>
        <v>4.1894212042801193E-3</v>
      </c>
      <c r="K11" s="289">
        <f t="shared" si="1"/>
        <v>4.2896597170776207E-3</v>
      </c>
      <c r="L11" s="289">
        <f t="shared" si="1"/>
        <v>4.2896597170776207E-3</v>
      </c>
      <c r="M11" s="289">
        <f t="shared" si="1"/>
        <v>4.1894212042801193E-3</v>
      </c>
      <c r="N11" s="289">
        <f t="shared" si="1"/>
        <v>5.0915678194565217E-3</v>
      </c>
      <c r="O11" s="289">
        <f t="shared" si="1"/>
        <v>5.1918063322540231E-3</v>
      </c>
      <c r="P11" s="289">
        <f t="shared" si="1"/>
        <v>5.3922833578488039E-3</v>
      </c>
      <c r="Q11" s="289">
        <f t="shared" si="1"/>
        <v>4.891090793861963E-3</v>
      </c>
      <c r="R11" s="289">
        <f t="shared" si="1"/>
        <v>5.2920448450513025E-3</v>
      </c>
      <c r="S11" s="289">
        <f t="shared" si="1"/>
        <v>4.9913293066592423E-3</v>
      </c>
      <c r="T11" s="289">
        <f t="shared" si="1"/>
        <v>4.891090793861963E-3</v>
      </c>
    </row>
    <row r="12" spans="2:20" x14ac:dyDescent="0.25">
      <c r="B12" s="284"/>
      <c r="C12" s="283">
        <f>(((C9)+1)^(1/12)-1)</f>
        <v>2.3851279739270925E-3</v>
      </c>
      <c r="D12" s="279"/>
      <c r="F12" s="285" t="s">
        <v>541</v>
      </c>
      <c r="G12" s="285"/>
      <c r="H12" s="285"/>
      <c r="I12" s="294">
        <f>1+I11</f>
        <v>1.0047908522810645</v>
      </c>
      <c r="J12" s="294">
        <f t="shared" ref="J12:T12" si="2">1+J11</f>
        <v>1.0041894212042801</v>
      </c>
      <c r="K12" s="294">
        <f t="shared" si="2"/>
        <v>1.0042896597170776</v>
      </c>
      <c r="L12" s="294">
        <f t="shared" si="2"/>
        <v>1.0042896597170776</v>
      </c>
      <c r="M12" s="294">
        <f t="shared" si="2"/>
        <v>1.0041894212042801</v>
      </c>
      <c r="N12" s="294">
        <f t="shared" si="2"/>
        <v>1.0050915678194565</v>
      </c>
      <c r="O12" s="294">
        <f t="shared" si="2"/>
        <v>1.005191806332254</v>
      </c>
      <c r="P12" s="294">
        <f t="shared" si="2"/>
        <v>1.0053922833578488</v>
      </c>
      <c r="Q12" s="294">
        <f t="shared" si="2"/>
        <v>1.004891090793862</v>
      </c>
      <c r="R12" s="294">
        <f t="shared" si="2"/>
        <v>1.0052920448450513</v>
      </c>
      <c r="S12" s="294">
        <f t="shared" si="2"/>
        <v>1.0049913293066592</v>
      </c>
      <c r="T12" s="294">
        <f t="shared" si="2"/>
        <v>1.004891090793862</v>
      </c>
    </row>
    <row r="14" spans="2:20" x14ac:dyDescent="0.25">
      <c r="F14" s="285" t="s">
        <v>543</v>
      </c>
      <c r="G14" s="285"/>
      <c r="H14" s="285"/>
      <c r="I14" s="292">
        <f>(PRODUCT(I10:T10))-1</f>
        <v>2.9182121725708665E-2</v>
      </c>
      <c r="J14" s="292"/>
      <c r="K14" s="292"/>
    </row>
    <row r="15" spans="2:20" x14ac:dyDescent="0.25">
      <c r="F15" s="285" t="s">
        <v>544</v>
      </c>
      <c r="G15" s="285"/>
      <c r="H15" s="285"/>
      <c r="I15" s="292">
        <f>(PRODUCT(I12:T12))-1</f>
        <v>5.9028403255753759E-2</v>
      </c>
      <c r="J15" s="292"/>
      <c r="K15" s="292"/>
    </row>
    <row r="16" spans="2:20" x14ac:dyDescent="0.25">
      <c r="F16" s="285" t="s">
        <v>545</v>
      </c>
      <c r="G16" s="285"/>
      <c r="H16" s="285"/>
      <c r="I16" s="256">
        <f>I6</f>
        <v>100000</v>
      </c>
      <c r="J16" s="253"/>
      <c r="K16" s="253"/>
    </row>
    <row r="17" spans="2:20" x14ac:dyDescent="0.25">
      <c r="F17" s="285" t="s">
        <v>549</v>
      </c>
      <c r="G17" s="285"/>
      <c r="H17" s="285"/>
      <c r="I17" s="293">
        <f>(I16*I14)+I16</f>
        <v>102918.21217257087</v>
      </c>
      <c r="J17" s="253"/>
      <c r="K17" s="253"/>
    </row>
    <row r="18" spans="2:20" x14ac:dyDescent="0.25">
      <c r="F18" s="285" t="s">
        <v>546</v>
      </c>
      <c r="G18" s="285"/>
      <c r="H18" s="285"/>
      <c r="I18" s="293">
        <f>((I16*I15)+I16)-((I16*I14)+I16)</f>
        <v>2984.6281530045089</v>
      </c>
      <c r="J18" s="253"/>
      <c r="K18" s="253"/>
    </row>
    <row r="21" spans="2:20" ht="15.75" x14ac:dyDescent="0.25">
      <c r="B21" s="284" t="s">
        <v>547</v>
      </c>
      <c r="C21" s="280" t="s">
        <v>204</v>
      </c>
      <c r="D21" s="251"/>
      <c r="F21" s="287" t="s">
        <v>335</v>
      </c>
      <c r="G21" s="287"/>
      <c r="H21" s="287"/>
      <c r="I21" s="287"/>
      <c r="J21" s="287"/>
      <c r="K21" s="287"/>
      <c r="L21" s="287"/>
      <c r="M21" s="287"/>
      <c r="N21" s="287"/>
      <c r="O21" s="287"/>
      <c r="P21" s="287"/>
      <c r="Q21" s="287"/>
      <c r="R21" s="287"/>
      <c r="S21" s="287"/>
      <c r="T21" s="287"/>
    </row>
    <row r="22" spans="2:20" x14ac:dyDescent="0.25">
      <c r="B22" s="284"/>
      <c r="C22" s="281" t="s">
        <v>548</v>
      </c>
      <c r="D22" s="61"/>
      <c r="F22" s="285" t="s">
        <v>526</v>
      </c>
      <c r="G22" s="285"/>
      <c r="H22" s="285"/>
      <c r="I22" s="286">
        <v>100000</v>
      </c>
      <c r="J22" s="286"/>
      <c r="K22" s="286"/>
      <c r="L22" s="286"/>
      <c r="M22" s="286"/>
      <c r="N22" s="286"/>
      <c r="O22" s="286"/>
      <c r="P22" s="286"/>
      <c r="Q22" s="286"/>
      <c r="R22" s="286"/>
      <c r="S22" s="286"/>
      <c r="T22" s="286"/>
    </row>
    <row r="23" spans="2:20" x14ac:dyDescent="0.25">
      <c r="B23" s="284"/>
      <c r="F23" s="285" t="s">
        <v>527</v>
      </c>
      <c r="G23" s="285"/>
      <c r="H23" s="285"/>
      <c r="I23" s="258" t="s">
        <v>528</v>
      </c>
      <c r="J23" s="258" t="s">
        <v>529</v>
      </c>
      <c r="K23" s="258" t="s">
        <v>530</v>
      </c>
      <c r="L23" s="258" t="s">
        <v>531</v>
      </c>
      <c r="M23" s="258" t="s">
        <v>532</v>
      </c>
      <c r="N23" s="258" t="s">
        <v>533</v>
      </c>
      <c r="O23" s="258" t="s">
        <v>534</v>
      </c>
      <c r="P23" s="258" t="s">
        <v>535</v>
      </c>
      <c r="Q23" s="258" t="s">
        <v>536</v>
      </c>
      <c r="R23" s="258" t="s">
        <v>537</v>
      </c>
      <c r="S23" s="258" t="s">
        <v>538</v>
      </c>
      <c r="T23" s="258" t="s">
        <v>539</v>
      </c>
    </row>
    <row r="24" spans="2:20" x14ac:dyDescent="0.25">
      <c r="B24" s="284"/>
      <c r="C24" s="280" t="s">
        <v>523</v>
      </c>
      <c r="D24" s="251"/>
      <c r="F24" s="285" t="s">
        <v>152</v>
      </c>
      <c r="G24" s="285"/>
      <c r="H24" s="285"/>
      <c r="I24" s="272">
        <v>5.7000000000000002E-3</v>
      </c>
      <c r="J24" s="272">
        <v>4.4999999999999997E-3</v>
      </c>
      <c r="K24" s="272">
        <v>5.1000000000000004E-3</v>
      </c>
      <c r="L24" s="272">
        <v>5.0000000000000001E-3</v>
      </c>
      <c r="M24" s="272">
        <v>5.0000000000000001E-3</v>
      </c>
      <c r="N24" s="272">
        <v>5.1000000000000004E-3</v>
      </c>
      <c r="O24" s="272">
        <v>5.3E-3</v>
      </c>
      <c r="P24" s="272">
        <v>5.5999999999999999E-3</v>
      </c>
      <c r="Q24" s="272">
        <v>4.5999999999999999E-3</v>
      </c>
      <c r="R24" s="272">
        <v>5.3E-3</v>
      </c>
      <c r="S24" s="272">
        <v>4.7999999999999996E-3</v>
      </c>
      <c r="T24" s="272">
        <v>4.7999999999999996E-3</v>
      </c>
    </row>
    <row r="25" spans="2:20" x14ac:dyDescent="0.25">
      <c r="B25" s="284"/>
      <c r="C25" s="282">
        <v>3.0000000000000001E-3</v>
      </c>
      <c r="D25" s="278"/>
    </row>
    <row r="26" spans="2:20" x14ac:dyDescent="0.25">
      <c r="B26" s="284"/>
      <c r="F26" s="285" t="s">
        <v>542</v>
      </c>
      <c r="G26" s="285"/>
      <c r="H26" s="285"/>
      <c r="I26" s="288">
        <f>1+I24</f>
        <v>1.0057</v>
      </c>
      <c r="J26" s="288">
        <f t="shared" ref="J26:T26" si="3">1+J24</f>
        <v>1.0044999999999999</v>
      </c>
      <c r="K26" s="288">
        <f t="shared" si="3"/>
        <v>1.0051000000000001</v>
      </c>
      <c r="L26" s="288">
        <f t="shared" si="3"/>
        <v>1.0049999999999999</v>
      </c>
      <c r="M26" s="288">
        <f t="shared" si="3"/>
        <v>1.0049999999999999</v>
      </c>
      <c r="N26" s="288">
        <f t="shared" si="3"/>
        <v>1.0051000000000001</v>
      </c>
      <c r="O26" s="288">
        <f t="shared" si="3"/>
        <v>1.0053000000000001</v>
      </c>
      <c r="P26" s="288">
        <f t="shared" si="3"/>
        <v>1.0056</v>
      </c>
      <c r="Q26" s="288">
        <f t="shared" si="3"/>
        <v>1.0045999999999999</v>
      </c>
      <c r="R26" s="288">
        <f t="shared" si="3"/>
        <v>1.0053000000000001</v>
      </c>
      <c r="S26" s="288">
        <f t="shared" si="3"/>
        <v>1.0047999999999999</v>
      </c>
      <c r="T26" s="288">
        <f t="shared" si="3"/>
        <v>1.0047999999999999</v>
      </c>
    </row>
    <row r="27" spans="2:20" x14ac:dyDescent="0.25">
      <c r="B27" s="284"/>
      <c r="C27" s="280" t="s">
        <v>524</v>
      </c>
      <c r="D27" s="251"/>
      <c r="F27" s="285" t="s">
        <v>540</v>
      </c>
      <c r="G27" s="285"/>
      <c r="H27" s="285"/>
      <c r="I27" s="289">
        <f>(I26*(1+$C$28))-1</f>
        <v>5.9510799517885626E-3</v>
      </c>
      <c r="J27" s="289">
        <f t="shared" ref="J27:T27" si="4">(J26*(1+$C$28))-1</f>
        <v>4.7507803634994072E-3</v>
      </c>
      <c r="K27" s="289">
        <f t="shared" si="4"/>
        <v>5.350930157644207E-3</v>
      </c>
      <c r="L27" s="289">
        <f t="shared" si="4"/>
        <v>5.250905191953148E-3</v>
      </c>
      <c r="M27" s="289">
        <f t="shared" si="4"/>
        <v>5.250905191953148E-3</v>
      </c>
      <c r="N27" s="289">
        <f t="shared" si="4"/>
        <v>5.350930157644207E-3</v>
      </c>
      <c r="O27" s="289">
        <f t="shared" si="4"/>
        <v>5.5509800890256589E-3</v>
      </c>
      <c r="P27" s="289">
        <f t="shared" si="4"/>
        <v>5.8510549860977257E-3</v>
      </c>
      <c r="Q27" s="289">
        <f t="shared" si="4"/>
        <v>4.8508053291902442E-3</v>
      </c>
      <c r="R27" s="289">
        <f t="shared" si="4"/>
        <v>5.5509800890256589E-3</v>
      </c>
      <c r="S27" s="289">
        <f t="shared" si="4"/>
        <v>5.0508552605716961E-3</v>
      </c>
      <c r="T27" s="289">
        <f t="shared" si="4"/>
        <v>5.0508552605716961E-3</v>
      </c>
    </row>
    <row r="28" spans="2:20" x14ac:dyDescent="0.25">
      <c r="B28" s="284"/>
      <c r="C28" s="283">
        <f>(((C25)+1)^(1/12)-1)</f>
        <v>2.4965690741618474E-4</v>
      </c>
      <c r="D28" s="279"/>
      <c r="F28" s="285" t="s">
        <v>541</v>
      </c>
      <c r="G28" s="285"/>
      <c r="H28" s="285"/>
      <c r="I28" s="294">
        <f>1+I27</f>
        <v>1.0059510799517886</v>
      </c>
      <c r="J28" s="294">
        <f t="shared" ref="J28" si="5">1+J27</f>
        <v>1.0047507803634994</v>
      </c>
      <c r="K28" s="294">
        <f t="shared" ref="K28" si="6">1+K27</f>
        <v>1.0053509301576442</v>
      </c>
      <c r="L28" s="294">
        <f t="shared" ref="L28" si="7">1+L27</f>
        <v>1.0052509051919531</v>
      </c>
      <c r="M28" s="294">
        <f t="shared" ref="M28" si="8">1+M27</f>
        <v>1.0052509051919531</v>
      </c>
      <c r="N28" s="294">
        <f t="shared" ref="N28" si="9">1+N27</f>
        <v>1.0053509301576442</v>
      </c>
      <c r="O28" s="294">
        <f t="shared" ref="O28" si="10">1+O27</f>
        <v>1.0055509800890257</v>
      </c>
      <c r="P28" s="294">
        <f t="shared" ref="P28" si="11">1+P27</f>
        <v>1.0058510549860977</v>
      </c>
      <c r="Q28" s="294">
        <f t="shared" ref="Q28" si="12">1+Q27</f>
        <v>1.0048508053291902</v>
      </c>
      <c r="R28" s="294">
        <f t="shared" ref="R28" si="13">1+R27</f>
        <v>1.0055509800890257</v>
      </c>
      <c r="S28" s="294">
        <f t="shared" ref="S28" si="14">1+S27</f>
        <v>1.0050508552605717</v>
      </c>
      <c r="T28" s="294">
        <f t="shared" ref="T28" si="15">1+T27</f>
        <v>1.0050508552605717</v>
      </c>
    </row>
    <row r="30" spans="2:20" x14ac:dyDescent="0.25">
      <c r="F30" s="285" t="s">
        <v>543</v>
      </c>
      <c r="G30" s="285"/>
      <c r="H30" s="285"/>
      <c r="I30" s="292">
        <f>(PRODUCT(I26:T26))-1</f>
        <v>6.2522455105571639E-2</v>
      </c>
      <c r="J30" s="292"/>
      <c r="K30" s="292"/>
    </row>
    <row r="31" spans="2:20" x14ac:dyDescent="0.25">
      <c r="F31" s="285" t="s">
        <v>544</v>
      </c>
      <c r="G31" s="285"/>
      <c r="H31" s="285"/>
      <c r="I31" s="292">
        <f>(PRODUCT(I28:T28))-1</f>
        <v>6.5710022470887086E-2</v>
      </c>
      <c r="J31" s="292"/>
      <c r="K31" s="292"/>
    </row>
    <row r="32" spans="2:20" x14ac:dyDescent="0.25">
      <c r="F32" s="285" t="s">
        <v>545</v>
      </c>
      <c r="G32" s="285"/>
      <c r="H32" s="285"/>
      <c r="I32" s="256">
        <f>I22</f>
        <v>100000</v>
      </c>
      <c r="J32" s="253"/>
      <c r="K32" s="253"/>
    </row>
    <row r="33" spans="6:11" x14ac:dyDescent="0.25">
      <c r="F33" s="285" t="s">
        <v>549</v>
      </c>
      <c r="G33" s="285"/>
      <c r="H33" s="285"/>
      <c r="I33" s="293">
        <f>(I32*I30)+I32</f>
        <v>106252.24551055717</v>
      </c>
      <c r="J33" s="253"/>
      <c r="K33" s="253"/>
    </row>
    <row r="34" spans="6:11" x14ac:dyDescent="0.25">
      <c r="F34" s="285" t="s">
        <v>546</v>
      </c>
      <c r="G34" s="285"/>
      <c r="H34" s="285"/>
      <c r="I34" s="293">
        <f>((I32*I31)+I32)-((I32*I30)+I32)</f>
        <v>318.75673653153353</v>
      </c>
      <c r="J34" s="253"/>
      <c r="K34" s="253"/>
    </row>
  </sheetData>
  <mergeCells count="51">
    <mergeCell ref="F33:H33"/>
    <mergeCell ref="I33:K33"/>
    <mergeCell ref="F34:H34"/>
    <mergeCell ref="I34:K34"/>
    <mergeCell ref="F30:H30"/>
    <mergeCell ref="I30:K30"/>
    <mergeCell ref="F31:H31"/>
    <mergeCell ref="I31:K31"/>
    <mergeCell ref="F32:H32"/>
    <mergeCell ref="I32:K32"/>
    <mergeCell ref="B21:B28"/>
    <mergeCell ref="C21:D21"/>
    <mergeCell ref="F21:T21"/>
    <mergeCell ref="C22:D22"/>
    <mergeCell ref="F22:H22"/>
    <mergeCell ref="I22:T22"/>
    <mergeCell ref="F23:H23"/>
    <mergeCell ref="C24:D24"/>
    <mergeCell ref="F24:H24"/>
    <mergeCell ref="C25:D25"/>
    <mergeCell ref="F26:H26"/>
    <mergeCell ref="C27:D27"/>
    <mergeCell ref="F27:H27"/>
    <mergeCell ref="C28:D28"/>
    <mergeCell ref="F28:H28"/>
    <mergeCell ref="I18:K18"/>
    <mergeCell ref="I17:K17"/>
    <mergeCell ref="I16:K16"/>
    <mergeCell ref="I15:K15"/>
    <mergeCell ref="I14:K14"/>
    <mergeCell ref="F18:H18"/>
    <mergeCell ref="F17:H17"/>
    <mergeCell ref="F16:H16"/>
    <mergeCell ref="F15:H15"/>
    <mergeCell ref="F14:H14"/>
    <mergeCell ref="B5:B12"/>
    <mergeCell ref="F8:H8"/>
    <mergeCell ref="F7:H7"/>
    <mergeCell ref="F6:H6"/>
    <mergeCell ref="F12:H12"/>
    <mergeCell ref="F11:H11"/>
    <mergeCell ref="F10:H10"/>
    <mergeCell ref="F5:T5"/>
    <mergeCell ref="C9:D9"/>
    <mergeCell ref="C6:D6"/>
    <mergeCell ref="C12:D12"/>
    <mergeCell ref="C5:D5"/>
    <mergeCell ref="C8:D8"/>
    <mergeCell ref="C11:D11"/>
    <mergeCell ref="I6:T6"/>
    <mergeCell ref="B2:T2"/>
  </mergeCell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9DEA2-3FAC-4AF8-83C7-7D75C0050C48}">
  <sheetPr>
    <tabColor theme="4" tint="-0.499984740745262"/>
  </sheetPr>
  <dimension ref="C2:Q105"/>
  <sheetViews>
    <sheetView workbookViewId="0">
      <selection activeCell="C2" sqref="C2:P2"/>
    </sheetView>
  </sheetViews>
  <sheetFormatPr defaultRowHeight="15" x14ac:dyDescent="0.25"/>
  <cols>
    <col min="1" max="2" width="7.140625" style="1" customWidth="1"/>
    <col min="3" max="6" width="11" style="1" customWidth="1"/>
    <col min="7" max="7" width="7.140625" style="1" customWidth="1"/>
    <col min="8" max="11" width="11" style="1" customWidth="1"/>
    <col min="12" max="12" width="7.140625" style="1" customWidth="1"/>
    <col min="13" max="16" width="11" style="1" customWidth="1"/>
    <col min="17" max="16384" width="9.140625" style="1"/>
  </cols>
  <sheetData>
    <row r="2" spans="3:17" ht="32.25" x14ac:dyDescent="0.25">
      <c r="C2" s="70" t="s">
        <v>35</v>
      </c>
      <c r="D2" s="70"/>
      <c r="E2" s="70"/>
      <c r="F2" s="70"/>
      <c r="G2" s="70"/>
      <c r="H2" s="70"/>
      <c r="I2" s="70"/>
      <c r="J2" s="70"/>
      <c r="K2" s="70"/>
      <c r="L2" s="70"/>
      <c r="M2" s="70"/>
      <c r="N2" s="70"/>
      <c r="O2" s="70"/>
      <c r="P2" s="70"/>
      <c r="Q2" s="10"/>
    </row>
    <row r="5" spans="3:17" ht="15.75" x14ac:dyDescent="0.25">
      <c r="C5" s="131" t="s">
        <v>79</v>
      </c>
      <c r="D5" s="131"/>
      <c r="E5" s="131"/>
      <c r="F5" s="131"/>
      <c r="H5" s="131" t="s">
        <v>624</v>
      </c>
      <c r="I5" s="131"/>
      <c r="J5" s="131"/>
      <c r="K5" s="131"/>
      <c r="M5" s="131" t="s">
        <v>373</v>
      </c>
      <c r="N5" s="131"/>
      <c r="O5" s="131"/>
      <c r="P5" s="131"/>
    </row>
    <row r="6" spans="3:17" x14ac:dyDescent="0.25">
      <c r="C6" s="140" t="s">
        <v>626</v>
      </c>
      <c r="D6" s="140"/>
      <c r="E6" s="140"/>
      <c r="F6" s="140"/>
      <c r="H6" s="140" t="s">
        <v>627</v>
      </c>
      <c r="I6" s="140"/>
      <c r="J6" s="140"/>
      <c r="K6" s="140"/>
      <c r="M6" s="140" t="s">
        <v>628</v>
      </c>
      <c r="N6" s="140"/>
      <c r="O6" s="140"/>
      <c r="P6" s="140"/>
    </row>
    <row r="7" spans="3:17" x14ac:dyDescent="0.25">
      <c r="C7" s="140"/>
      <c r="D7" s="140"/>
      <c r="E7" s="140"/>
      <c r="F7" s="140"/>
      <c r="H7" s="140"/>
      <c r="I7" s="140"/>
      <c r="J7" s="140"/>
      <c r="K7" s="140"/>
      <c r="M7" s="140"/>
      <c r="N7" s="140"/>
      <c r="O7" s="140"/>
      <c r="P7" s="140"/>
    </row>
    <row r="8" spans="3:17" x14ac:dyDescent="0.25">
      <c r="C8" s="140"/>
      <c r="D8" s="140"/>
      <c r="E8" s="140"/>
      <c r="F8" s="140"/>
      <c r="H8" s="140"/>
      <c r="I8" s="140"/>
      <c r="J8" s="140"/>
      <c r="K8" s="140"/>
      <c r="M8" s="140"/>
      <c r="N8" s="140"/>
      <c r="O8" s="140"/>
      <c r="P8" s="140"/>
    </row>
    <row r="9" spans="3:17" x14ac:dyDescent="0.25">
      <c r="C9" s="140"/>
      <c r="D9" s="140"/>
      <c r="E9" s="140"/>
      <c r="F9" s="140"/>
      <c r="H9" s="140"/>
      <c r="I9" s="140"/>
      <c r="J9" s="140"/>
      <c r="K9" s="140"/>
      <c r="M9" s="140"/>
      <c r="N9" s="140"/>
      <c r="O9" s="140"/>
      <c r="P9" s="140"/>
    </row>
    <row r="10" spans="3:17" x14ac:dyDescent="0.25">
      <c r="C10" s="140"/>
      <c r="D10" s="140"/>
      <c r="E10" s="140"/>
      <c r="F10" s="140"/>
      <c r="H10" s="140"/>
      <c r="I10" s="140"/>
      <c r="J10" s="140"/>
      <c r="K10" s="140"/>
      <c r="M10" s="140"/>
      <c r="N10" s="140"/>
      <c r="O10" s="140"/>
      <c r="P10" s="140"/>
    </row>
    <row r="11" spans="3:17" x14ac:dyDescent="0.25">
      <c r="C11" s="140"/>
      <c r="D11" s="140"/>
      <c r="E11" s="140"/>
      <c r="F11" s="140"/>
      <c r="H11" s="140"/>
      <c r="I11" s="140"/>
      <c r="J11" s="140"/>
      <c r="K11" s="140"/>
      <c r="M11" s="140"/>
      <c r="N11" s="140"/>
      <c r="O11" s="140"/>
      <c r="P11" s="140"/>
    </row>
    <row r="12" spans="3:17" x14ac:dyDescent="0.25">
      <c r="C12" s="140"/>
      <c r="D12" s="140"/>
      <c r="E12" s="140"/>
      <c r="F12" s="140"/>
      <c r="H12" s="140"/>
      <c r="I12" s="140"/>
      <c r="J12" s="140"/>
      <c r="K12" s="140"/>
      <c r="M12" s="140"/>
      <c r="N12" s="140"/>
      <c r="O12" s="140"/>
      <c r="P12" s="140"/>
    </row>
    <row r="13" spans="3:17" x14ac:dyDescent="0.25">
      <c r="C13" s="140"/>
      <c r="D13" s="140"/>
      <c r="E13" s="140"/>
      <c r="F13" s="140"/>
      <c r="H13" s="140"/>
      <c r="I13" s="140"/>
      <c r="J13" s="140"/>
      <c r="K13" s="140"/>
      <c r="M13" s="140"/>
      <c r="N13" s="140"/>
      <c r="O13" s="140"/>
      <c r="P13" s="140"/>
    </row>
    <row r="14" spans="3:17" x14ac:dyDescent="0.25">
      <c r="C14" s="140"/>
      <c r="D14" s="140"/>
      <c r="E14" s="140"/>
      <c r="F14" s="140"/>
      <c r="H14" s="140"/>
      <c r="I14" s="140"/>
      <c r="J14" s="140"/>
      <c r="K14" s="140"/>
      <c r="M14" s="140"/>
      <c r="N14" s="140"/>
      <c r="O14" s="140"/>
      <c r="P14" s="140"/>
    </row>
    <row r="15" spans="3:17" x14ac:dyDescent="0.25">
      <c r="C15" s="140"/>
      <c r="D15" s="140"/>
      <c r="E15" s="140"/>
      <c r="F15" s="140"/>
      <c r="H15" s="140"/>
      <c r="I15" s="140"/>
      <c r="J15" s="140"/>
      <c r="K15" s="140"/>
      <c r="M15" s="140"/>
      <c r="N15" s="140"/>
      <c r="O15" s="140"/>
      <c r="P15" s="140"/>
    </row>
    <row r="16" spans="3:17" x14ac:dyDescent="0.25">
      <c r="C16" s="140"/>
      <c r="D16" s="140"/>
      <c r="E16" s="140"/>
      <c r="F16" s="140"/>
      <c r="H16" s="140"/>
      <c r="I16" s="140"/>
      <c r="J16" s="140"/>
      <c r="K16" s="140"/>
      <c r="M16" s="140"/>
      <c r="N16" s="140"/>
      <c r="O16" s="140"/>
      <c r="P16" s="140"/>
    </row>
    <row r="17" spans="3:16" x14ac:dyDescent="0.25">
      <c r="C17" s="140"/>
      <c r="D17" s="140"/>
      <c r="E17" s="140"/>
      <c r="F17" s="140"/>
      <c r="H17" s="140"/>
      <c r="I17" s="140"/>
      <c r="J17" s="140"/>
      <c r="K17" s="140"/>
      <c r="M17" s="140"/>
      <c r="N17" s="140"/>
      <c r="O17" s="140"/>
      <c r="P17" s="140"/>
    </row>
    <row r="18" spans="3:16" x14ac:dyDescent="0.25">
      <c r="C18" s="140"/>
      <c r="D18" s="140"/>
      <c r="E18" s="140"/>
      <c r="F18" s="140"/>
      <c r="H18" s="140"/>
      <c r="I18" s="140"/>
      <c r="J18" s="140"/>
      <c r="K18" s="140"/>
      <c r="M18" s="140"/>
      <c r="N18" s="140"/>
      <c r="O18" s="140"/>
      <c r="P18" s="140"/>
    </row>
    <row r="19" spans="3:16" x14ac:dyDescent="0.25">
      <c r="C19" s="140"/>
      <c r="D19" s="140"/>
      <c r="E19" s="140"/>
      <c r="F19" s="140"/>
      <c r="H19" s="140"/>
      <c r="I19" s="140"/>
      <c r="J19" s="140"/>
      <c r="K19" s="140"/>
      <c r="M19" s="140"/>
      <c r="N19" s="140"/>
      <c r="O19" s="140"/>
      <c r="P19" s="140"/>
    </row>
    <row r="20" spans="3:16" x14ac:dyDescent="0.25">
      <c r="C20" s="140"/>
      <c r="D20" s="140"/>
      <c r="E20" s="140"/>
      <c r="F20" s="140"/>
      <c r="H20" s="140"/>
      <c r="I20" s="140"/>
      <c r="J20" s="140"/>
      <c r="K20" s="140"/>
      <c r="M20" s="140"/>
      <c r="N20" s="140"/>
      <c r="O20" s="140"/>
      <c r="P20" s="140"/>
    </row>
    <row r="22" spans="3:16" ht="15.75" x14ac:dyDescent="0.25">
      <c r="C22" s="131" t="s">
        <v>386</v>
      </c>
      <c r="D22" s="131"/>
      <c r="E22" s="131"/>
      <c r="F22" s="131"/>
      <c r="H22" s="131" t="s">
        <v>384</v>
      </c>
      <c r="I22" s="131"/>
      <c r="J22" s="131"/>
      <c r="K22" s="131"/>
      <c r="M22" s="131" t="s">
        <v>381</v>
      </c>
      <c r="N22" s="131"/>
      <c r="O22" s="131"/>
      <c r="P22" s="131"/>
    </row>
    <row r="23" spans="3:16" x14ac:dyDescent="0.25">
      <c r="C23" s="140" t="s">
        <v>629</v>
      </c>
      <c r="D23" s="140"/>
      <c r="E23" s="140"/>
      <c r="F23" s="140"/>
      <c r="H23" s="140" t="s">
        <v>630</v>
      </c>
      <c r="I23" s="140"/>
      <c r="J23" s="140"/>
      <c r="K23" s="140"/>
      <c r="M23" s="140" t="s">
        <v>631</v>
      </c>
      <c r="N23" s="140"/>
      <c r="O23" s="140"/>
      <c r="P23" s="140"/>
    </row>
    <row r="24" spans="3:16" x14ac:dyDescent="0.25">
      <c r="C24" s="140"/>
      <c r="D24" s="140"/>
      <c r="E24" s="140"/>
      <c r="F24" s="140"/>
      <c r="H24" s="140"/>
      <c r="I24" s="140"/>
      <c r="J24" s="140"/>
      <c r="K24" s="140"/>
      <c r="M24" s="140"/>
      <c r="N24" s="140"/>
      <c r="O24" s="140"/>
      <c r="P24" s="140"/>
    </row>
    <row r="25" spans="3:16" x14ac:dyDescent="0.25">
      <c r="C25" s="140"/>
      <c r="D25" s="140"/>
      <c r="E25" s="140"/>
      <c r="F25" s="140"/>
      <c r="H25" s="140"/>
      <c r="I25" s="140"/>
      <c r="J25" s="140"/>
      <c r="K25" s="140"/>
      <c r="M25" s="140"/>
      <c r="N25" s="140"/>
      <c r="O25" s="140"/>
      <c r="P25" s="140"/>
    </row>
    <row r="26" spans="3:16" x14ac:dyDescent="0.25">
      <c r="C26" s="140"/>
      <c r="D26" s="140"/>
      <c r="E26" s="140"/>
      <c r="F26" s="140"/>
      <c r="H26" s="140"/>
      <c r="I26" s="140"/>
      <c r="J26" s="140"/>
      <c r="K26" s="140"/>
      <c r="M26" s="140"/>
      <c r="N26" s="140"/>
      <c r="O26" s="140"/>
      <c r="P26" s="140"/>
    </row>
    <row r="27" spans="3:16" x14ac:dyDescent="0.25">
      <c r="C27" s="140"/>
      <c r="D27" s="140"/>
      <c r="E27" s="140"/>
      <c r="F27" s="140"/>
      <c r="H27" s="140"/>
      <c r="I27" s="140"/>
      <c r="J27" s="140"/>
      <c r="K27" s="140"/>
      <c r="M27" s="140"/>
      <c r="N27" s="140"/>
      <c r="O27" s="140"/>
      <c r="P27" s="140"/>
    </row>
    <row r="28" spans="3:16" x14ac:dyDescent="0.25">
      <c r="C28" s="140"/>
      <c r="D28" s="140"/>
      <c r="E28" s="140"/>
      <c r="F28" s="140"/>
      <c r="H28" s="140"/>
      <c r="I28" s="140"/>
      <c r="J28" s="140"/>
      <c r="K28" s="140"/>
      <c r="M28" s="140"/>
      <c r="N28" s="140"/>
      <c r="O28" s="140"/>
      <c r="P28" s="140"/>
    </row>
    <row r="29" spans="3:16" x14ac:dyDescent="0.25">
      <c r="C29" s="140"/>
      <c r="D29" s="140"/>
      <c r="E29" s="140"/>
      <c r="F29" s="140"/>
      <c r="H29" s="140"/>
      <c r="I29" s="140"/>
      <c r="J29" s="140"/>
      <c r="K29" s="140"/>
      <c r="M29" s="140"/>
      <c r="N29" s="140"/>
      <c r="O29" s="140"/>
      <c r="P29" s="140"/>
    </row>
    <row r="30" spans="3:16" x14ac:dyDescent="0.25">
      <c r="C30" s="140"/>
      <c r="D30" s="140"/>
      <c r="E30" s="140"/>
      <c r="F30" s="140"/>
      <c r="H30" s="140"/>
      <c r="I30" s="140"/>
      <c r="J30" s="140"/>
      <c r="K30" s="140"/>
      <c r="M30" s="140"/>
      <c r="N30" s="140"/>
      <c r="O30" s="140"/>
      <c r="P30" s="140"/>
    </row>
    <row r="31" spans="3:16" x14ac:dyDescent="0.25">
      <c r="C31" s="140"/>
      <c r="D31" s="140"/>
      <c r="E31" s="140"/>
      <c r="F31" s="140"/>
      <c r="H31" s="140"/>
      <c r="I31" s="140"/>
      <c r="J31" s="140"/>
      <c r="K31" s="140"/>
      <c r="M31" s="140"/>
      <c r="N31" s="140"/>
      <c r="O31" s="140"/>
      <c r="P31" s="140"/>
    </row>
    <row r="32" spans="3:16" x14ac:dyDescent="0.25">
      <c r="C32" s="140"/>
      <c r="D32" s="140"/>
      <c r="E32" s="140"/>
      <c r="F32" s="140"/>
      <c r="H32" s="140"/>
      <c r="I32" s="140"/>
      <c r="J32" s="140"/>
      <c r="K32" s="140"/>
      <c r="M32" s="140"/>
      <c r="N32" s="140"/>
      <c r="O32" s="140"/>
      <c r="P32" s="140"/>
    </row>
    <row r="33" spans="3:16" x14ac:dyDescent="0.25">
      <c r="C33" s="140"/>
      <c r="D33" s="140"/>
      <c r="E33" s="140"/>
      <c r="F33" s="140"/>
      <c r="H33" s="140"/>
      <c r="I33" s="140"/>
      <c r="J33" s="140"/>
      <c r="K33" s="140"/>
      <c r="M33" s="140"/>
      <c r="N33" s="140"/>
      <c r="O33" s="140"/>
      <c r="P33" s="140"/>
    </row>
    <row r="34" spans="3:16" x14ac:dyDescent="0.25">
      <c r="C34" s="140"/>
      <c r="D34" s="140"/>
      <c r="E34" s="140"/>
      <c r="F34" s="140"/>
      <c r="H34" s="140"/>
      <c r="I34" s="140"/>
      <c r="J34" s="140"/>
      <c r="K34" s="140"/>
      <c r="M34" s="140"/>
      <c r="N34" s="140"/>
      <c r="O34" s="140"/>
      <c r="P34" s="140"/>
    </row>
    <row r="35" spans="3:16" x14ac:dyDescent="0.25">
      <c r="C35" s="140"/>
      <c r="D35" s="140"/>
      <c r="E35" s="140"/>
      <c r="F35" s="140"/>
      <c r="H35" s="140"/>
      <c r="I35" s="140"/>
      <c r="J35" s="140"/>
      <c r="K35" s="140"/>
      <c r="M35" s="140"/>
      <c r="N35" s="140"/>
      <c r="O35" s="140"/>
      <c r="P35" s="140"/>
    </row>
    <row r="36" spans="3:16" x14ac:dyDescent="0.25">
      <c r="C36" s="140"/>
      <c r="D36" s="140"/>
      <c r="E36" s="140"/>
      <c r="F36" s="140"/>
      <c r="H36" s="140"/>
      <c r="I36" s="140"/>
      <c r="J36" s="140"/>
      <c r="K36" s="140"/>
      <c r="M36" s="140"/>
      <c r="N36" s="140"/>
      <c r="O36" s="140"/>
      <c r="P36" s="140"/>
    </row>
    <row r="37" spans="3:16" x14ac:dyDescent="0.25">
      <c r="C37" s="140"/>
      <c r="D37" s="140"/>
      <c r="E37" s="140"/>
      <c r="F37" s="140"/>
      <c r="H37" s="140"/>
      <c r="I37" s="140"/>
      <c r="J37" s="140"/>
      <c r="K37" s="140"/>
      <c r="M37" s="140"/>
      <c r="N37" s="140"/>
      <c r="O37" s="140"/>
      <c r="P37" s="140"/>
    </row>
    <row r="39" spans="3:16" ht="15.75" x14ac:dyDescent="0.25">
      <c r="C39" s="131" t="s">
        <v>85</v>
      </c>
      <c r="D39" s="131"/>
      <c r="E39" s="131"/>
      <c r="F39" s="131"/>
      <c r="H39" s="131" t="s">
        <v>389</v>
      </c>
      <c r="I39" s="131"/>
      <c r="J39" s="131"/>
      <c r="K39" s="131"/>
      <c r="M39" s="131" t="s">
        <v>387</v>
      </c>
      <c r="N39" s="131"/>
      <c r="O39" s="131"/>
      <c r="P39" s="131"/>
    </row>
    <row r="40" spans="3:16" x14ac:dyDescent="0.25">
      <c r="C40" s="140" t="s">
        <v>632</v>
      </c>
      <c r="D40" s="140"/>
      <c r="E40" s="140"/>
      <c r="F40" s="140"/>
      <c r="H40" s="140" t="s">
        <v>633</v>
      </c>
      <c r="I40" s="140"/>
      <c r="J40" s="140"/>
      <c r="K40" s="140"/>
      <c r="M40" s="140" t="s">
        <v>634</v>
      </c>
      <c r="N40" s="140"/>
      <c r="O40" s="140"/>
      <c r="P40" s="140"/>
    </row>
    <row r="41" spans="3:16" x14ac:dyDescent="0.25">
      <c r="C41" s="140"/>
      <c r="D41" s="140"/>
      <c r="E41" s="140"/>
      <c r="F41" s="140"/>
      <c r="H41" s="140"/>
      <c r="I41" s="140"/>
      <c r="J41" s="140"/>
      <c r="K41" s="140"/>
      <c r="M41" s="140"/>
      <c r="N41" s="140"/>
      <c r="O41" s="140"/>
      <c r="P41" s="140"/>
    </row>
    <row r="42" spans="3:16" x14ac:dyDescent="0.25">
      <c r="C42" s="140"/>
      <c r="D42" s="140"/>
      <c r="E42" s="140"/>
      <c r="F42" s="140"/>
      <c r="H42" s="140"/>
      <c r="I42" s="140"/>
      <c r="J42" s="140"/>
      <c r="K42" s="140"/>
      <c r="M42" s="140"/>
      <c r="N42" s="140"/>
      <c r="O42" s="140"/>
      <c r="P42" s="140"/>
    </row>
    <row r="43" spans="3:16" x14ac:dyDescent="0.25">
      <c r="C43" s="140"/>
      <c r="D43" s="140"/>
      <c r="E43" s="140"/>
      <c r="F43" s="140"/>
      <c r="H43" s="140"/>
      <c r="I43" s="140"/>
      <c r="J43" s="140"/>
      <c r="K43" s="140"/>
      <c r="M43" s="140"/>
      <c r="N43" s="140"/>
      <c r="O43" s="140"/>
      <c r="P43" s="140"/>
    </row>
    <row r="44" spans="3:16" x14ac:dyDescent="0.25">
      <c r="C44" s="140"/>
      <c r="D44" s="140"/>
      <c r="E44" s="140"/>
      <c r="F44" s="140"/>
      <c r="H44" s="140"/>
      <c r="I44" s="140"/>
      <c r="J44" s="140"/>
      <c r="K44" s="140"/>
      <c r="M44" s="140"/>
      <c r="N44" s="140"/>
      <c r="O44" s="140"/>
      <c r="P44" s="140"/>
    </row>
    <row r="45" spans="3:16" x14ac:dyDescent="0.25">
      <c r="C45" s="140"/>
      <c r="D45" s="140"/>
      <c r="E45" s="140"/>
      <c r="F45" s="140"/>
      <c r="H45" s="140"/>
      <c r="I45" s="140"/>
      <c r="J45" s="140"/>
      <c r="K45" s="140"/>
      <c r="M45" s="140"/>
      <c r="N45" s="140"/>
      <c r="O45" s="140"/>
      <c r="P45" s="140"/>
    </row>
    <row r="46" spans="3:16" x14ac:dyDescent="0.25">
      <c r="C46" s="140"/>
      <c r="D46" s="140"/>
      <c r="E46" s="140"/>
      <c r="F46" s="140"/>
      <c r="H46" s="140"/>
      <c r="I46" s="140"/>
      <c r="J46" s="140"/>
      <c r="K46" s="140"/>
      <c r="M46" s="140"/>
      <c r="N46" s="140"/>
      <c r="O46" s="140"/>
      <c r="P46" s="140"/>
    </row>
    <row r="47" spans="3:16" x14ac:dyDescent="0.25">
      <c r="C47" s="140"/>
      <c r="D47" s="140"/>
      <c r="E47" s="140"/>
      <c r="F47" s="140"/>
      <c r="H47" s="140"/>
      <c r="I47" s="140"/>
      <c r="J47" s="140"/>
      <c r="K47" s="140"/>
      <c r="M47" s="140"/>
      <c r="N47" s="140"/>
      <c r="O47" s="140"/>
      <c r="P47" s="140"/>
    </row>
    <row r="48" spans="3:16" x14ac:dyDescent="0.25">
      <c r="C48" s="140"/>
      <c r="D48" s="140"/>
      <c r="E48" s="140"/>
      <c r="F48" s="140"/>
      <c r="H48" s="140"/>
      <c r="I48" s="140"/>
      <c r="J48" s="140"/>
      <c r="K48" s="140"/>
      <c r="M48" s="140"/>
      <c r="N48" s="140"/>
      <c r="O48" s="140"/>
      <c r="P48" s="140"/>
    </row>
    <row r="49" spans="3:16" x14ac:dyDescent="0.25">
      <c r="C49" s="140"/>
      <c r="D49" s="140"/>
      <c r="E49" s="140"/>
      <c r="F49" s="140"/>
      <c r="H49" s="140"/>
      <c r="I49" s="140"/>
      <c r="J49" s="140"/>
      <c r="K49" s="140"/>
      <c r="M49" s="140"/>
      <c r="N49" s="140"/>
      <c r="O49" s="140"/>
      <c r="P49" s="140"/>
    </row>
    <row r="50" spans="3:16" x14ac:dyDescent="0.25">
      <c r="C50" s="140"/>
      <c r="D50" s="140"/>
      <c r="E50" s="140"/>
      <c r="F50" s="140"/>
      <c r="H50" s="140"/>
      <c r="I50" s="140"/>
      <c r="J50" s="140"/>
      <c r="K50" s="140"/>
      <c r="M50" s="140"/>
      <c r="N50" s="140"/>
      <c r="O50" s="140"/>
      <c r="P50" s="140"/>
    </row>
    <row r="51" spans="3:16" x14ac:dyDescent="0.25">
      <c r="C51" s="140"/>
      <c r="D51" s="140"/>
      <c r="E51" s="140"/>
      <c r="F51" s="140"/>
      <c r="H51" s="140"/>
      <c r="I51" s="140"/>
      <c r="J51" s="140"/>
      <c r="K51" s="140"/>
      <c r="M51" s="140"/>
      <c r="N51" s="140"/>
      <c r="O51" s="140"/>
      <c r="P51" s="140"/>
    </row>
    <row r="52" spans="3:16" x14ac:dyDescent="0.25">
      <c r="C52" s="140"/>
      <c r="D52" s="140"/>
      <c r="E52" s="140"/>
      <c r="F52" s="140"/>
      <c r="H52" s="140"/>
      <c r="I52" s="140"/>
      <c r="J52" s="140"/>
      <c r="K52" s="140"/>
      <c r="M52" s="140"/>
      <c r="N52" s="140"/>
      <c r="O52" s="140"/>
      <c r="P52" s="140"/>
    </row>
    <row r="53" spans="3:16" x14ac:dyDescent="0.25">
      <c r="C53" s="140"/>
      <c r="D53" s="140"/>
      <c r="E53" s="140"/>
      <c r="F53" s="140"/>
      <c r="H53" s="140"/>
      <c r="I53" s="140"/>
      <c r="J53" s="140"/>
      <c r="K53" s="140"/>
      <c r="M53" s="140"/>
      <c r="N53" s="140"/>
      <c r="O53" s="140"/>
      <c r="P53" s="140"/>
    </row>
    <row r="54" spans="3:16" x14ac:dyDescent="0.25">
      <c r="C54" s="140"/>
      <c r="D54" s="140"/>
      <c r="E54" s="140"/>
      <c r="F54" s="140"/>
      <c r="H54" s="140"/>
      <c r="I54" s="140"/>
      <c r="J54" s="140"/>
      <c r="K54" s="140"/>
      <c r="M54" s="140"/>
      <c r="N54" s="140"/>
      <c r="O54" s="140"/>
      <c r="P54" s="140"/>
    </row>
    <row r="56" spans="3:16" ht="15.75" x14ac:dyDescent="0.25">
      <c r="C56" s="131" t="s">
        <v>380</v>
      </c>
      <c r="D56" s="131"/>
      <c r="E56" s="131"/>
      <c r="F56" s="131"/>
      <c r="H56" s="131" t="s">
        <v>385</v>
      </c>
      <c r="I56" s="131"/>
      <c r="J56" s="131"/>
      <c r="K56" s="131"/>
      <c r="M56" s="131" t="s">
        <v>625</v>
      </c>
      <c r="N56" s="131"/>
      <c r="O56" s="131"/>
      <c r="P56" s="131"/>
    </row>
    <row r="57" spans="3:16" x14ac:dyDescent="0.25">
      <c r="C57" s="140" t="s">
        <v>635</v>
      </c>
      <c r="D57" s="140"/>
      <c r="E57" s="140"/>
      <c r="F57" s="140"/>
      <c r="H57" s="140" t="s">
        <v>636</v>
      </c>
      <c r="I57" s="140"/>
      <c r="J57" s="140"/>
      <c r="K57" s="140"/>
      <c r="M57" s="140" t="s">
        <v>637</v>
      </c>
      <c r="N57" s="140"/>
      <c r="O57" s="140"/>
      <c r="P57" s="140"/>
    </row>
    <row r="58" spans="3:16" x14ac:dyDescent="0.25">
      <c r="C58" s="140"/>
      <c r="D58" s="140"/>
      <c r="E58" s="140"/>
      <c r="F58" s="140"/>
      <c r="H58" s="140"/>
      <c r="I58" s="140"/>
      <c r="J58" s="140"/>
      <c r="K58" s="140"/>
      <c r="M58" s="140"/>
      <c r="N58" s="140"/>
      <c r="O58" s="140"/>
      <c r="P58" s="140"/>
    </row>
    <row r="59" spans="3:16" x14ac:dyDescent="0.25">
      <c r="C59" s="140"/>
      <c r="D59" s="140"/>
      <c r="E59" s="140"/>
      <c r="F59" s="140"/>
      <c r="H59" s="140"/>
      <c r="I59" s="140"/>
      <c r="J59" s="140"/>
      <c r="K59" s="140"/>
      <c r="M59" s="140"/>
      <c r="N59" s="140"/>
      <c r="O59" s="140"/>
      <c r="P59" s="140"/>
    </row>
    <row r="60" spans="3:16" x14ac:dyDescent="0.25">
      <c r="C60" s="140"/>
      <c r="D60" s="140"/>
      <c r="E60" s="140"/>
      <c r="F60" s="140"/>
      <c r="H60" s="140"/>
      <c r="I60" s="140"/>
      <c r="J60" s="140"/>
      <c r="K60" s="140"/>
      <c r="M60" s="140"/>
      <c r="N60" s="140"/>
      <c r="O60" s="140"/>
      <c r="P60" s="140"/>
    </row>
    <row r="61" spans="3:16" x14ac:dyDescent="0.25">
      <c r="C61" s="140"/>
      <c r="D61" s="140"/>
      <c r="E61" s="140"/>
      <c r="F61" s="140"/>
      <c r="H61" s="140"/>
      <c r="I61" s="140"/>
      <c r="J61" s="140"/>
      <c r="K61" s="140"/>
      <c r="M61" s="140"/>
      <c r="N61" s="140"/>
      <c r="O61" s="140"/>
      <c r="P61" s="140"/>
    </row>
    <row r="62" spans="3:16" x14ac:dyDescent="0.25">
      <c r="C62" s="140"/>
      <c r="D62" s="140"/>
      <c r="E62" s="140"/>
      <c r="F62" s="140"/>
      <c r="H62" s="140"/>
      <c r="I62" s="140"/>
      <c r="J62" s="140"/>
      <c r="K62" s="140"/>
      <c r="M62" s="140"/>
      <c r="N62" s="140"/>
      <c r="O62" s="140"/>
      <c r="P62" s="140"/>
    </row>
    <row r="63" spans="3:16" x14ac:dyDescent="0.25">
      <c r="C63" s="140"/>
      <c r="D63" s="140"/>
      <c r="E63" s="140"/>
      <c r="F63" s="140"/>
      <c r="H63" s="140"/>
      <c r="I63" s="140"/>
      <c r="J63" s="140"/>
      <c r="K63" s="140"/>
      <c r="M63" s="140"/>
      <c r="N63" s="140"/>
      <c r="O63" s="140"/>
      <c r="P63" s="140"/>
    </row>
    <row r="64" spans="3:16" x14ac:dyDescent="0.25">
      <c r="C64" s="140"/>
      <c r="D64" s="140"/>
      <c r="E64" s="140"/>
      <c r="F64" s="140"/>
      <c r="H64" s="140"/>
      <c r="I64" s="140"/>
      <c r="J64" s="140"/>
      <c r="K64" s="140"/>
      <c r="M64" s="140"/>
      <c r="N64" s="140"/>
      <c r="O64" s="140"/>
      <c r="P64" s="140"/>
    </row>
    <row r="65" spans="3:16" x14ac:dyDescent="0.25">
      <c r="C65" s="140"/>
      <c r="D65" s="140"/>
      <c r="E65" s="140"/>
      <c r="F65" s="140"/>
      <c r="H65" s="140"/>
      <c r="I65" s="140"/>
      <c r="J65" s="140"/>
      <c r="K65" s="140"/>
      <c r="M65" s="140"/>
      <c r="N65" s="140"/>
      <c r="O65" s="140"/>
      <c r="P65" s="140"/>
    </row>
    <row r="66" spans="3:16" x14ac:dyDescent="0.25">
      <c r="C66" s="140"/>
      <c r="D66" s="140"/>
      <c r="E66" s="140"/>
      <c r="F66" s="140"/>
      <c r="H66" s="140"/>
      <c r="I66" s="140"/>
      <c r="J66" s="140"/>
      <c r="K66" s="140"/>
      <c r="M66" s="140"/>
      <c r="N66" s="140"/>
      <c r="O66" s="140"/>
      <c r="P66" s="140"/>
    </row>
    <row r="67" spans="3:16" x14ac:dyDescent="0.25">
      <c r="C67" s="140"/>
      <c r="D67" s="140"/>
      <c r="E67" s="140"/>
      <c r="F67" s="140"/>
      <c r="H67" s="140"/>
      <c r="I67" s="140"/>
      <c r="J67" s="140"/>
      <c r="K67" s="140"/>
      <c r="M67" s="140"/>
      <c r="N67" s="140"/>
      <c r="O67" s="140"/>
      <c r="P67" s="140"/>
    </row>
    <row r="68" spans="3:16" x14ac:dyDescent="0.25">
      <c r="C68" s="140"/>
      <c r="D68" s="140"/>
      <c r="E68" s="140"/>
      <c r="F68" s="140"/>
      <c r="H68" s="140"/>
      <c r="I68" s="140"/>
      <c r="J68" s="140"/>
      <c r="K68" s="140"/>
      <c r="M68" s="140"/>
      <c r="N68" s="140"/>
      <c r="O68" s="140"/>
      <c r="P68" s="140"/>
    </row>
    <row r="69" spans="3:16" x14ac:dyDescent="0.25">
      <c r="C69" s="140"/>
      <c r="D69" s="140"/>
      <c r="E69" s="140"/>
      <c r="F69" s="140"/>
      <c r="H69" s="140"/>
      <c r="I69" s="140"/>
      <c r="J69" s="140"/>
      <c r="K69" s="140"/>
      <c r="M69" s="140"/>
      <c r="N69" s="140"/>
      <c r="O69" s="140"/>
      <c r="P69" s="140"/>
    </row>
    <row r="70" spans="3:16" x14ac:dyDescent="0.25">
      <c r="C70" s="140"/>
      <c r="D70" s="140"/>
      <c r="E70" s="140"/>
      <c r="F70" s="140"/>
      <c r="H70" s="140"/>
      <c r="I70" s="140"/>
      <c r="J70" s="140"/>
      <c r="K70" s="140"/>
      <c r="M70" s="140"/>
      <c r="N70" s="140"/>
      <c r="O70" s="140"/>
      <c r="P70" s="140"/>
    </row>
    <row r="71" spans="3:16" x14ac:dyDescent="0.25">
      <c r="C71" s="140"/>
      <c r="D71" s="140"/>
      <c r="E71" s="140"/>
      <c r="F71" s="140"/>
      <c r="H71" s="140"/>
      <c r="I71" s="140"/>
      <c r="J71" s="140"/>
      <c r="K71" s="140"/>
      <c r="M71" s="140"/>
      <c r="N71" s="140"/>
      <c r="O71" s="140"/>
      <c r="P71" s="140"/>
    </row>
    <row r="73" spans="3:16" ht="15.75" x14ac:dyDescent="0.25">
      <c r="C73" s="131" t="s">
        <v>382</v>
      </c>
      <c r="D73" s="131"/>
      <c r="E73" s="131"/>
      <c r="F73" s="131"/>
      <c r="H73" s="131" t="s">
        <v>383</v>
      </c>
      <c r="I73" s="131"/>
      <c r="J73" s="131"/>
      <c r="K73" s="131"/>
      <c r="M73" s="131" t="s">
        <v>376</v>
      </c>
      <c r="N73" s="131"/>
      <c r="O73" s="131"/>
      <c r="P73" s="131"/>
    </row>
    <row r="74" spans="3:16" x14ac:dyDescent="0.25">
      <c r="C74" s="140" t="s">
        <v>638</v>
      </c>
      <c r="D74" s="140"/>
      <c r="E74" s="140"/>
      <c r="F74" s="140"/>
      <c r="H74" s="140" t="s">
        <v>639</v>
      </c>
      <c r="I74" s="140"/>
      <c r="J74" s="140"/>
      <c r="K74" s="140"/>
      <c r="M74" s="140" t="s">
        <v>640</v>
      </c>
      <c r="N74" s="140"/>
      <c r="O74" s="140"/>
      <c r="P74" s="140"/>
    </row>
    <row r="75" spans="3:16" x14ac:dyDescent="0.25">
      <c r="C75" s="140"/>
      <c r="D75" s="140"/>
      <c r="E75" s="140"/>
      <c r="F75" s="140"/>
      <c r="H75" s="140"/>
      <c r="I75" s="140"/>
      <c r="J75" s="140"/>
      <c r="K75" s="140"/>
      <c r="M75" s="140"/>
      <c r="N75" s="140"/>
      <c r="O75" s="140"/>
      <c r="P75" s="140"/>
    </row>
    <row r="76" spans="3:16" x14ac:dyDescent="0.25">
      <c r="C76" s="140"/>
      <c r="D76" s="140"/>
      <c r="E76" s="140"/>
      <c r="F76" s="140"/>
      <c r="H76" s="140"/>
      <c r="I76" s="140"/>
      <c r="J76" s="140"/>
      <c r="K76" s="140"/>
      <c r="M76" s="140"/>
      <c r="N76" s="140"/>
      <c r="O76" s="140"/>
      <c r="P76" s="140"/>
    </row>
    <row r="77" spans="3:16" x14ac:dyDescent="0.25">
      <c r="C77" s="140"/>
      <c r="D77" s="140"/>
      <c r="E77" s="140"/>
      <c r="F77" s="140"/>
      <c r="H77" s="140"/>
      <c r="I77" s="140"/>
      <c r="J77" s="140"/>
      <c r="K77" s="140"/>
      <c r="M77" s="140"/>
      <c r="N77" s="140"/>
      <c r="O77" s="140"/>
      <c r="P77" s="140"/>
    </row>
    <row r="78" spans="3:16" x14ac:dyDescent="0.25">
      <c r="C78" s="140"/>
      <c r="D78" s="140"/>
      <c r="E78" s="140"/>
      <c r="F78" s="140"/>
      <c r="H78" s="140"/>
      <c r="I78" s="140"/>
      <c r="J78" s="140"/>
      <c r="K78" s="140"/>
      <c r="M78" s="140"/>
      <c r="N78" s="140"/>
      <c r="O78" s="140"/>
      <c r="P78" s="140"/>
    </row>
    <row r="79" spans="3:16" x14ac:dyDescent="0.25">
      <c r="C79" s="140"/>
      <c r="D79" s="140"/>
      <c r="E79" s="140"/>
      <c r="F79" s="140"/>
      <c r="H79" s="140"/>
      <c r="I79" s="140"/>
      <c r="J79" s="140"/>
      <c r="K79" s="140"/>
      <c r="M79" s="140"/>
      <c r="N79" s="140"/>
      <c r="O79" s="140"/>
      <c r="P79" s="140"/>
    </row>
    <row r="80" spans="3:16" x14ac:dyDescent="0.25">
      <c r="C80" s="140"/>
      <c r="D80" s="140"/>
      <c r="E80" s="140"/>
      <c r="F80" s="140"/>
      <c r="H80" s="140"/>
      <c r="I80" s="140"/>
      <c r="J80" s="140"/>
      <c r="K80" s="140"/>
      <c r="M80" s="140"/>
      <c r="N80" s="140"/>
      <c r="O80" s="140"/>
      <c r="P80" s="140"/>
    </row>
    <row r="81" spans="3:16" x14ac:dyDescent="0.25">
      <c r="C81" s="140"/>
      <c r="D81" s="140"/>
      <c r="E81" s="140"/>
      <c r="F81" s="140"/>
      <c r="H81" s="140"/>
      <c r="I81" s="140"/>
      <c r="J81" s="140"/>
      <c r="K81" s="140"/>
      <c r="M81" s="140"/>
      <c r="N81" s="140"/>
      <c r="O81" s="140"/>
      <c r="P81" s="140"/>
    </row>
    <row r="82" spans="3:16" x14ac:dyDescent="0.25">
      <c r="C82" s="140"/>
      <c r="D82" s="140"/>
      <c r="E82" s="140"/>
      <c r="F82" s="140"/>
      <c r="H82" s="140"/>
      <c r="I82" s="140"/>
      <c r="J82" s="140"/>
      <c r="K82" s="140"/>
      <c r="M82" s="140"/>
      <c r="N82" s="140"/>
      <c r="O82" s="140"/>
      <c r="P82" s="140"/>
    </row>
    <row r="83" spans="3:16" x14ac:dyDescent="0.25">
      <c r="C83" s="140"/>
      <c r="D83" s="140"/>
      <c r="E83" s="140"/>
      <c r="F83" s="140"/>
      <c r="H83" s="140"/>
      <c r="I83" s="140"/>
      <c r="J83" s="140"/>
      <c r="K83" s="140"/>
      <c r="M83" s="140"/>
      <c r="N83" s="140"/>
      <c r="O83" s="140"/>
      <c r="P83" s="140"/>
    </row>
    <row r="84" spans="3:16" x14ac:dyDescent="0.25">
      <c r="C84" s="140"/>
      <c r="D84" s="140"/>
      <c r="E84" s="140"/>
      <c r="F84" s="140"/>
      <c r="H84" s="140"/>
      <c r="I84" s="140"/>
      <c r="J84" s="140"/>
      <c r="K84" s="140"/>
      <c r="M84" s="140"/>
      <c r="N84" s="140"/>
      <c r="O84" s="140"/>
      <c r="P84" s="140"/>
    </row>
    <row r="85" spans="3:16" x14ac:dyDescent="0.25">
      <c r="C85" s="140"/>
      <c r="D85" s="140"/>
      <c r="E85" s="140"/>
      <c r="F85" s="140"/>
      <c r="H85" s="140"/>
      <c r="I85" s="140"/>
      <c r="J85" s="140"/>
      <c r="K85" s="140"/>
      <c r="M85" s="140"/>
      <c r="N85" s="140"/>
      <c r="O85" s="140"/>
      <c r="P85" s="140"/>
    </row>
    <row r="86" spans="3:16" x14ac:dyDescent="0.25">
      <c r="C86" s="140"/>
      <c r="D86" s="140"/>
      <c r="E86" s="140"/>
      <c r="F86" s="140"/>
      <c r="H86" s="140"/>
      <c r="I86" s="140"/>
      <c r="J86" s="140"/>
      <c r="K86" s="140"/>
      <c r="M86" s="140"/>
      <c r="N86" s="140"/>
      <c r="O86" s="140"/>
      <c r="P86" s="140"/>
    </row>
    <row r="87" spans="3:16" x14ac:dyDescent="0.25">
      <c r="C87" s="140"/>
      <c r="D87" s="140"/>
      <c r="E87" s="140"/>
      <c r="F87" s="140"/>
      <c r="H87" s="140"/>
      <c r="I87" s="140"/>
      <c r="J87" s="140"/>
      <c r="K87" s="140"/>
      <c r="M87" s="140"/>
      <c r="N87" s="140"/>
      <c r="O87" s="140"/>
      <c r="P87" s="140"/>
    </row>
    <row r="88" spans="3:16" x14ac:dyDescent="0.25">
      <c r="C88" s="140"/>
      <c r="D88" s="140"/>
      <c r="E88" s="140"/>
      <c r="F88" s="140"/>
      <c r="H88" s="140"/>
      <c r="I88" s="140"/>
      <c r="J88" s="140"/>
      <c r="K88" s="140"/>
      <c r="M88" s="140"/>
      <c r="N88" s="140"/>
      <c r="O88" s="140"/>
      <c r="P88" s="140"/>
    </row>
    <row r="90" spans="3:16" ht="15.75" x14ac:dyDescent="0.25">
      <c r="C90" s="131" t="s">
        <v>388</v>
      </c>
      <c r="D90" s="131"/>
      <c r="E90" s="131"/>
      <c r="F90" s="131"/>
      <c r="H90" s="131" t="s">
        <v>372</v>
      </c>
      <c r="I90" s="131"/>
      <c r="J90" s="131"/>
      <c r="K90" s="131"/>
      <c r="M90" s="131" t="s">
        <v>623</v>
      </c>
      <c r="N90" s="131"/>
      <c r="O90" s="131"/>
      <c r="P90" s="131"/>
    </row>
    <row r="91" spans="3:16" x14ac:dyDescent="0.25">
      <c r="C91" s="140" t="s">
        <v>641</v>
      </c>
      <c r="D91" s="140"/>
      <c r="E91" s="140"/>
      <c r="F91" s="140"/>
      <c r="H91" s="140" t="s">
        <v>642</v>
      </c>
      <c r="I91" s="140"/>
      <c r="J91" s="140"/>
      <c r="K91" s="140"/>
      <c r="M91" s="140" t="s">
        <v>643</v>
      </c>
      <c r="N91" s="140"/>
      <c r="O91" s="140"/>
      <c r="P91" s="140"/>
    </row>
    <row r="92" spans="3:16" x14ac:dyDescent="0.25">
      <c r="C92" s="140"/>
      <c r="D92" s="140"/>
      <c r="E92" s="140"/>
      <c r="F92" s="140"/>
      <c r="H92" s="140"/>
      <c r="I92" s="140"/>
      <c r="J92" s="140"/>
      <c r="K92" s="140"/>
      <c r="M92" s="140"/>
      <c r="N92" s="140"/>
      <c r="O92" s="140"/>
      <c r="P92" s="140"/>
    </row>
    <row r="93" spans="3:16" x14ac:dyDescent="0.25">
      <c r="C93" s="140"/>
      <c r="D93" s="140"/>
      <c r="E93" s="140"/>
      <c r="F93" s="140"/>
      <c r="H93" s="140"/>
      <c r="I93" s="140"/>
      <c r="J93" s="140"/>
      <c r="K93" s="140"/>
      <c r="M93" s="140"/>
      <c r="N93" s="140"/>
      <c r="O93" s="140"/>
      <c r="P93" s="140"/>
    </row>
    <row r="94" spans="3:16" x14ac:dyDescent="0.25">
      <c r="C94" s="140"/>
      <c r="D94" s="140"/>
      <c r="E94" s="140"/>
      <c r="F94" s="140"/>
      <c r="H94" s="140"/>
      <c r="I94" s="140"/>
      <c r="J94" s="140"/>
      <c r="K94" s="140"/>
      <c r="M94" s="140"/>
      <c r="N94" s="140"/>
      <c r="O94" s="140"/>
      <c r="P94" s="140"/>
    </row>
    <row r="95" spans="3:16" x14ac:dyDescent="0.25">
      <c r="C95" s="140"/>
      <c r="D95" s="140"/>
      <c r="E95" s="140"/>
      <c r="F95" s="140"/>
      <c r="H95" s="140"/>
      <c r="I95" s="140"/>
      <c r="J95" s="140"/>
      <c r="K95" s="140"/>
      <c r="M95" s="140"/>
      <c r="N95" s="140"/>
      <c r="O95" s="140"/>
      <c r="P95" s="140"/>
    </row>
    <row r="96" spans="3:16" x14ac:dyDescent="0.25">
      <c r="C96" s="140"/>
      <c r="D96" s="140"/>
      <c r="E96" s="140"/>
      <c r="F96" s="140"/>
      <c r="H96" s="140"/>
      <c r="I96" s="140"/>
      <c r="J96" s="140"/>
      <c r="K96" s="140"/>
      <c r="M96" s="140"/>
      <c r="N96" s="140"/>
      <c r="O96" s="140"/>
      <c r="P96" s="140"/>
    </row>
    <row r="97" spans="3:16" x14ac:dyDescent="0.25">
      <c r="C97" s="140"/>
      <c r="D97" s="140"/>
      <c r="E97" s="140"/>
      <c r="F97" s="140"/>
      <c r="H97" s="140"/>
      <c r="I97" s="140"/>
      <c r="J97" s="140"/>
      <c r="K97" s="140"/>
      <c r="M97" s="140"/>
      <c r="N97" s="140"/>
      <c r="O97" s="140"/>
      <c r="P97" s="140"/>
    </row>
    <row r="98" spans="3:16" x14ac:dyDescent="0.25">
      <c r="C98" s="140"/>
      <c r="D98" s="140"/>
      <c r="E98" s="140"/>
      <c r="F98" s="140"/>
      <c r="H98" s="140"/>
      <c r="I98" s="140"/>
      <c r="J98" s="140"/>
      <c r="K98" s="140"/>
      <c r="M98" s="140"/>
      <c r="N98" s="140"/>
      <c r="O98" s="140"/>
      <c r="P98" s="140"/>
    </row>
    <row r="99" spans="3:16" x14ac:dyDescent="0.25">
      <c r="C99" s="140"/>
      <c r="D99" s="140"/>
      <c r="E99" s="140"/>
      <c r="F99" s="140"/>
      <c r="H99" s="140"/>
      <c r="I99" s="140"/>
      <c r="J99" s="140"/>
      <c r="K99" s="140"/>
      <c r="M99" s="140"/>
      <c r="N99" s="140"/>
      <c r="O99" s="140"/>
      <c r="P99" s="140"/>
    </row>
    <row r="100" spans="3:16" x14ac:dyDescent="0.25">
      <c r="C100" s="140"/>
      <c r="D100" s="140"/>
      <c r="E100" s="140"/>
      <c r="F100" s="140"/>
      <c r="H100" s="140"/>
      <c r="I100" s="140"/>
      <c r="J100" s="140"/>
      <c r="K100" s="140"/>
      <c r="M100" s="140"/>
      <c r="N100" s="140"/>
      <c r="O100" s="140"/>
      <c r="P100" s="140"/>
    </row>
    <row r="101" spans="3:16" x14ac:dyDescent="0.25">
      <c r="C101" s="140"/>
      <c r="D101" s="140"/>
      <c r="E101" s="140"/>
      <c r="F101" s="140"/>
      <c r="H101" s="140"/>
      <c r="I101" s="140"/>
      <c r="J101" s="140"/>
      <c r="K101" s="140"/>
      <c r="M101" s="140"/>
      <c r="N101" s="140"/>
      <c r="O101" s="140"/>
      <c r="P101" s="140"/>
    </row>
    <row r="102" spans="3:16" x14ac:dyDescent="0.25">
      <c r="C102" s="140"/>
      <c r="D102" s="140"/>
      <c r="E102" s="140"/>
      <c r="F102" s="140"/>
      <c r="H102" s="140"/>
      <c r="I102" s="140"/>
      <c r="J102" s="140"/>
      <c r="K102" s="140"/>
      <c r="M102" s="140"/>
      <c r="N102" s="140"/>
      <c r="O102" s="140"/>
      <c r="P102" s="140"/>
    </row>
    <row r="103" spans="3:16" x14ac:dyDescent="0.25">
      <c r="C103" s="140"/>
      <c r="D103" s="140"/>
      <c r="E103" s="140"/>
      <c r="F103" s="140"/>
      <c r="H103" s="140"/>
      <c r="I103" s="140"/>
      <c r="J103" s="140"/>
      <c r="K103" s="140"/>
      <c r="M103" s="140"/>
      <c r="N103" s="140"/>
      <c r="O103" s="140"/>
      <c r="P103" s="140"/>
    </row>
    <row r="104" spans="3:16" x14ac:dyDescent="0.25">
      <c r="C104" s="140"/>
      <c r="D104" s="140"/>
      <c r="E104" s="140"/>
      <c r="F104" s="140"/>
      <c r="H104" s="140"/>
      <c r="I104" s="140"/>
      <c r="J104" s="140"/>
      <c r="K104" s="140"/>
      <c r="M104" s="140"/>
      <c r="N104" s="140"/>
      <c r="O104" s="140"/>
      <c r="P104" s="140"/>
    </row>
    <row r="105" spans="3:16" x14ac:dyDescent="0.25">
      <c r="C105" s="140"/>
      <c r="D105" s="140"/>
      <c r="E105" s="140"/>
      <c r="F105" s="140"/>
      <c r="H105" s="140"/>
      <c r="I105" s="140"/>
      <c r="J105" s="140"/>
      <c r="K105" s="140"/>
      <c r="M105" s="140"/>
      <c r="N105" s="140"/>
      <c r="O105" s="140"/>
      <c r="P105" s="140"/>
    </row>
  </sheetData>
  <mergeCells count="37">
    <mergeCell ref="M90:P90"/>
    <mergeCell ref="M91:P105"/>
    <mergeCell ref="H5:K5"/>
    <mergeCell ref="H6:K20"/>
    <mergeCell ref="M56:P56"/>
    <mergeCell ref="M57:P71"/>
    <mergeCell ref="M6:P20"/>
    <mergeCell ref="M40:P54"/>
    <mergeCell ref="H40:K54"/>
    <mergeCell ref="C40:F54"/>
    <mergeCell ref="C74:F88"/>
    <mergeCell ref="H74:K88"/>
    <mergeCell ref="H23:K37"/>
    <mergeCell ref="H57:K71"/>
    <mergeCell ref="C23:F37"/>
    <mergeCell ref="H22:K22"/>
    <mergeCell ref="H56:K56"/>
    <mergeCell ref="C22:F22"/>
    <mergeCell ref="M5:P5"/>
    <mergeCell ref="M39:P39"/>
    <mergeCell ref="H39:K39"/>
    <mergeCell ref="M73:P73"/>
    <mergeCell ref="C5:F5"/>
    <mergeCell ref="M22:P22"/>
    <mergeCell ref="C39:F39"/>
    <mergeCell ref="C73:F73"/>
    <mergeCell ref="H73:K73"/>
    <mergeCell ref="M74:P88"/>
    <mergeCell ref="C6:F20"/>
    <mergeCell ref="M23:P37"/>
    <mergeCell ref="H90:K90"/>
    <mergeCell ref="C56:F56"/>
    <mergeCell ref="C90:F90"/>
    <mergeCell ref="C2:P2"/>
    <mergeCell ref="C91:F105"/>
    <mergeCell ref="C57:F71"/>
    <mergeCell ref="H91:K105"/>
  </mergeCell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90EB7-12D3-4C29-AAAB-0CD5A09214E4}">
  <sheetPr>
    <tabColor theme="4" tint="-0.499984740745262"/>
  </sheetPr>
  <dimension ref="D2:N28"/>
  <sheetViews>
    <sheetView workbookViewId="0">
      <selection activeCell="D2" sqref="D2:N2"/>
    </sheetView>
  </sheetViews>
  <sheetFormatPr defaultRowHeight="15" x14ac:dyDescent="0.25"/>
  <cols>
    <col min="1" max="6" width="10.7109375" style="1" customWidth="1"/>
    <col min="7" max="8" width="11.42578125" style="1" customWidth="1"/>
    <col min="9" max="9" width="9.140625" style="1"/>
    <col min="10" max="12" width="10.7109375" style="1" customWidth="1"/>
    <col min="13" max="14" width="11.42578125" style="1" customWidth="1"/>
    <col min="15" max="16384" width="9.140625" style="1"/>
  </cols>
  <sheetData>
    <row r="2" spans="4:14" ht="32.25" x14ac:dyDescent="0.25">
      <c r="D2" s="70" t="s">
        <v>6</v>
      </c>
      <c r="E2" s="70"/>
      <c r="F2" s="70"/>
      <c r="G2" s="70"/>
      <c r="H2" s="70"/>
      <c r="I2" s="70"/>
      <c r="J2" s="70"/>
      <c r="K2" s="70"/>
      <c r="L2" s="70"/>
      <c r="M2" s="70"/>
      <c r="N2" s="70"/>
    </row>
    <row r="5" spans="4:14" ht="15.75" x14ac:dyDescent="0.25">
      <c r="D5" s="99" t="s">
        <v>390</v>
      </c>
      <c r="E5" s="99"/>
      <c r="F5" s="99"/>
      <c r="G5" s="99"/>
      <c r="H5" s="99"/>
      <c r="J5" s="99" t="s">
        <v>404</v>
      </c>
      <c r="K5" s="99"/>
      <c r="L5" s="99"/>
      <c r="M5" s="99"/>
      <c r="N5" s="99"/>
    </row>
    <row r="7" spans="4:14" x14ac:dyDescent="0.25">
      <c r="D7" s="98" t="s">
        <v>335</v>
      </c>
      <c r="E7" s="98"/>
      <c r="F7" s="98"/>
      <c r="G7" s="98"/>
      <c r="H7" s="98"/>
      <c r="J7" s="98" t="s">
        <v>335</v>
      </c>
      <c r="K7" s="98"/>
      <c r="L7" s="98"/>
      <c r="M7" s="98"/>
      <c r="N7" s="98"/>
    </row>
    <row r="8" spans="4:14" ht="15.75" x14ac:dyDescent="0.25">
      <c r="D8" s="79" t="s">
        <v>391</v>
      </c>
      <c r="E8" s="79"/>
      <c r="F8" s="79"/>
      <c r="G8" s="100">
        <v>50000</v>
      </c>
      <c r="H8" s="100"/>
      <c r="J8" s="79" t="s">
        <v>391</v>
      </c>
      <c r="K8" s="79"/>
      <c r="L8" s="79"/>
      <c r="M8" s="100">
        <v>50000</v>
      </c>
      <c r="N8" s="100"/>
    </row>
    <row r="9" spans="4:14" ht="15.75" x14ac:dyDescent="0.25">
      <c r="D9" s="79" t="s">
        <v>392</v>
      </c>
      <c r="E9" s="79"/>
      <c r="F9" s="79"/>
      <c r="G9" s="103">
        <v>0.91</v>
      </c>
      <c r="H9" s="103"/>
      <c r="J9" s="79" t="s">
        <v>392</v>
      </c>
      <c r="K9" s="79"/>
      <c r="L9" s="79"/>
      <c r="M9" s="101">
        <v>0.08</v>
      </c>
      <c r="N9" s="96"/>
    </row>
    <row r="10" spans="4:14" ht="15.75" x14ac:dyDescent="0.25">
      <c r="D10" s="79" t="s">
        <v>393</v>
      </c>
      <c r="E10" s="79"/>
      <c r="F10" s="79"/>
      <c r="G10" s="104">
        <v>6.3899999999999998E-2</v>
      </c>
      <c r="H10" s="104"/>
      <c r="J10" s="79" t="s">
        <v>394</v>
      </c>
      <c r="K10" s="79"/>
      <c r="L10" s="79"/>
      <c r="M10" s="100">
        <v>0</v>
      </c>
      <c r="N10" s="100"/>
    </row>
    <row r="11" spans="4:14" ht="15.75" x14ac:dyDescent="0.25">
      <c r="D11" s="79" t="s">
        <v>394</v>
      </c>
      <c r="E11" s="79"/>
      <c r="F11" s="79"/>
      <c r="G11" s="100">
        <v>0</v>
      </c>
      <c r="H11" s="100"/>
      <c r="J11" s="79" t="s">
        <v>395</v>
      </c>
      <c r="K11" s="79"/>
      <c r="L11" s="79"/>
      <c r="M11" s="102">
        <v>0.5</v>
      </c>
      <c r="N11" s="102"/>
    </row>
    <row r="12" spans="4:14" ht="15.75" x14ac:dyDescent="0.25">
      <c r="D12" s="79" t="s">
        <v>395</v>
      </c>
      <c r="E12" s="79"/>
      <c r="F12" s="79"/>
      <c r="G12" s="102">
        <v>0.5</v>
      </c>
      <c r="H12" s="102"/>
      <c r="J12" s="79" t="s">
        <v>396</v>
      </c>
      <c r="K12" s="79"/>
      <c r="L12" s="79"/>
      <c r="M12" s="96" t="s">
        <v>408</v>
      </c>
      <c r="N12" s="96"/>
    </row>
    <row r="13" spans="4:14" ht="15.75" x14ac:dyDescent="0.25">
      <c r="D13" s="79" t="s">
        <v>396</v>
      </c>
      <c r="E13" s="79"/>
      <c r="F13" s="79"/>
      <c r="G13" s="96" t="s">
        <v>405</v>
      </c>
      <c r="H13" s="96"/>
      <c r="J13" s="79" t="s">
        <v>181</v>
      </c>
      <c r="K13" s="79"/>
      <c r="L13" s="79"/>
      <c r="M13" s="97">
        <v>0.17499999999999999</v>
      </c>
      <c r="N13" s="97"/>
    </row>
    <row r="14" spans="4:14" ht="15.75" x14ac:dyDescent="0.25">
      <c r="D14" s="79" t="s">
        <v>181</v>
      </c>
      <c r="E14" s="79"/>
      <c r="F14" s="79"/>
      <c r="G14" s="97">
        <v>0.22500000000000001</v>
      </c>
      <c r="H14" s="97"/>
    </row>
    <row r="16" spans="4:14" x14ac:dyDescent="0.25">
      <c r="D16" s="98" t="s">
        <v>336</v>
      </c>
      <c r="E16" s="98"/>
      <c r="F16" s="98"/>
      <c r="G16" s="98"/>
      <c r="H16" s="98"/>
      <c r="J16" s="98" t="s">
        <v>336</v>
      </c>
      <c r="K16" s="98"/>
      <c r="L16" s="98"/>
      <c r="M16" s="98"/>
      <c r="N16" s="98"/>
    </row>
    <row r="17" spans="4:14" ht="15.75" x14ac:dyDescent="0.25">
      <c r="D17" s="79" t="s">
        <v>341</v>
      </c>
      <c r="E17" s="79"/>
      <c r="F17" s="79"/>
      <c r="G17" s="95">
        <f>FV((G9*G10),G12,,-G8)</f>
        <v>51433.184812920153</v>
      </c>
      <c r="H17" s="92"/>
      <c r="J17" s="79" t="s">
        <v>341</v>
      </c>
      <c r="K17" s="79"/>
      <c r="L17" s="79"/>
      <c r="M17" s="95">
        <f>FV(M9,M11,,-M8)</f>
        <v>51961.524227066322</v>
      </c>
      <c r="N17" s="92"/>
    </row>
    <row r="18" spans="4:14" ht="15.75" x14ac:dyDescent="0.25">
      <c r="D18" s="79" t="s">
        <v>406</v>
      </c>
      <c r="E18" s="79"/>
      <c r="F18" s="79"/>
      <c r="G18" s="95">
        <f>G11*(12*G12)</f>
        <v>0</v>
      </c>
      <c r="H18" s="92"/>
      <c r="J18" s="79" t="s">
        <v>406</v>
      </c>
      <c r="K18" s="79"/>
      <c r="L18" s="79"/>
      <c r="M18" s="95">
        <f>M10*(12*M11)</f>
        <v>0</v>
      </c>
      <c r="N18" s="92"/>
    </row>
    <row r="19" spans="4:14" ht="15.75" x14ac:dyDescent="0.25">
      <c r="D19" s="79" t="s">
        <v>397</v>
      </c>
      <c r="E19" s="79"/>
      <c r="F19" s="79"/>
      <c r="G19" s="95">
        <f>G17-G18</f>
        <v>51433.184812920153</v>
      </c>
      <c r="H19" s="92"/>
      <c r="J19" s="79" t="s">
        <v>397</v>
      </c>
      <c r="K19" s="79"/>
      <c r="L19" s="79"/>
      <c r="M19" s="95">
        <f>M17-M18</f>
        <v>51961.524227066322</v>
      </c>
      <c r="N19" s="92"/>
    </row>
    <row r="20" spans="4:14" ht="15.75" x14ac:dyDescent="0.25">
      <c r="D20" s="79" t="s">
        <v>398</v>
      </c>
      <c r="E20" s="79"/>
      <c r="F20" s="79"/>
      <c r="G20" s="95">
        <f>G17-G8</f>
        <v>1433.1848129201535</v>
      </c>
      <c r="H20" s="92"/>
      <c r="J20" s="79" t="s">
        <v>398</v>
      </c>
      <c r="K20" s="79"/>
      <c r="L20" s="79"/>
      <c r="M20" s="95">
        <f>M17-M8</f>
        <v>1961.5242270663221</v>
      </c>
      <c r="N20" s="92"/>
    </row>
    <row r="21" spans="4:14" ht="15.75" x14ac:dyDescent="0.25">
      <c r="D21" s="79" t="s">
        <v>399</v>
      </c>
      <c r="E21" s="79"/>
      <c r="F21" s="79"/>
      <c r="G21" s="95">
        <f>IF(G13="SIM",G20*(1-G14),0)</f>
        <v>0</v>
      </c>
      <c r="H21" s="92"/>
      <c r="J21" s="79" t="s">
        <v>399</v>
      </c>
      <c r="K21" s="79"/>
      <c r="L21" s="79"/>
      <c r="M21" s="95">
        <f>IF(M12="SIM",M20*(1-M13),0)</f>
        <v>1618.2574873297156</v>
      </c>
      <c r="N21" s="92"/>
    </row>
    <row r="22" spans="4:14" ht="15.75" x14ac:dyDescent="0.25">
      <c r="D22" s="79" t="s">
        <v>400</v>
      </c>
      <c r="E22" s="79"/>
      <c r="F22" s="79"/>
      <c r="G22" s="95">
        <f>IF(G21&gt;0,G21-G18,G19-G8)</f>
        <v>1433.1848129201535</v>
      </c>
      <c r="H22" s="92"/>
      <c r="J22" s="79" t="s">
        <v>400</v>
      </c>
      <c r="K22" s="79"/>
      <c r="L22" s="79"/>
      <c r="M22" s="95">
        <f>IF(M21&gt;0,M21-M18,M19-M8)</f>
        <v>1618.2574873297156</v>
      </c>
      <c r="N22" s="92"/>
    </row>
    <row r="23" spans="4:14" ht="15.75" x14ac:dyDescent="0.25">
      <c r="D23" s="79" t="s">
        <v>401</v>
      </c>
      <c r="E23" s="79"/>
      <c r="F23" s="79"/>
      <c r="G23" s="91">
        <f>G8+G22</f>
        <v>51433.184812920153</v>
      </c>
      <c r="H23" s="92"/>
      <c r="J23" s="79" t="s">
        <v>401</v>
      </c>
      <c r="K23" s="79"/>
      <c r="L23" s="79"/>
      <c r="M23" s="91">
        <f>M8+M22</f>
        <v>51618.257487329713</v>
      </c>
      <c r="N23" s="92"/>
    </row>
    <row r="25" spans="4:14" ht="15.75" x14ac:dyDescent="0.25">
      <c r="D25" s="79" t="s">
        <v>403</v>
      </c>
      <c r="E25" s="79"/>
      <c r="F25" s="79"/>
      <c r="G25" s="93">
        <f>(G9*G22)/G20</f>
        <v>0.90999999999999992</v>
      </c>
      <c r="H25" s="93"/>
      <c r="J25" s="79" t="s">
        <v>403</v>
      </c>
      <c r="K25" s="79"/>
      <c r="L25" s="79"/>
      <c r="M25" s="93">
        <f>(M9*M22)/M20</f>
        <v>6.6000000000000003E-2</v>
      </c>
      <c r="N25" s="93"/>
    </row>
    <row r="26" spans="4:14" ht="15.75" x14ac:dyDescent="0.25">
      <c r="D26" s="79" t="s">
        <v>402</v>
      </c>
      <c r="E26" s="79"/>
      <c r="F26" s="79"/>
      <c r="G26" s="94">
        <f>(((G25*G10+1)^(1/12))-1)</f>
        <v>4.721206212754403E-3</v>
      </c>
      <c r="H26" s="94"/>
      <c r="J26" s="79" t="s">
        <v>402</v>
      </c>
      <c r="K26" s="79"/>
      <c r="L26" s="79"/>
      <c r="M26" s="94">
        <f>(((M25+1)^(1/12))-1)</f>
        <v>5.3403194199830306E-3</v>
      </c>
      <c r="N26" s="94"/>
    </row>
    <row r="28" spans="4:14" ht="15.75" x14ac:dyDescent="0.25">
      <c r="D28" s="79" t="s">
        <v>407</v>
      </c>
      <c r="E28" s="79"/>
      <c r="F28" s="79"/>
      <c r="G28" s="89">
        <f>M23-G23</f>
        <v>185.07267440955911</v>
      </c>
      <c r="H28" s="90"/>
      <c r="I28" s="90"/>
      <c r="J28" s="90"/>
      <c r="K28" s="90"/>
      <c r="L28" s="90"/>
      <c r="M28" s="90"/>
      <c r="N28" s="90"/>
    </row>
  </sheetData>
  <mergeCells count="71">
    <mergeCell ref="D2:N2"/>
    <mergeCell ref="D9:F9"/>
    <mergeCell ref="D8:F8"/>
    <mergeCell ref="D28:F28"/>
    <mergeCell ref="D26:F26"/>
    <mergeCell ref="D25:F25"/>
    <mergeCell ref="D23:F23"/>
    <mergeCell ref="D22:F22"/>
    <mergeCell ref="D21:F21"/>
    <mergeCell ref="D20:F20"/>
    <mergeCell ref="D19:F19"/>
    <mergeCell ref="D18:F18"/>
    <mergeCell ref="D17:F17"/>
    <mergeCell ref="D14:F14"/>
    <mergeCell ref="D13:F13"/>
    <mergeCell ref="D12:F12"/>
    <mergeCell ref="G19:H19"/>
    <mergeCell ref="G20:H20"/>
    <mergeCell ref="G21:H21"/>
    <mergeCell ref="D5:H5"/>
    <mergeCell ref="G9:H9"/>
    <mergeCell ref="G10:H10"/>
    <mergeCell ref="G11:H11"/>
    <mergeCell ref="G12:H12"/>
    <mergeCell ref="D11:F11"/>
    <mergeCell ref="D10:F10"/>
    <mergeCell ref="G8:H8"/>
    <mergeCell ref="D7:H7"/>
    <mergeCell ref="D16:H16"/>
    <mergeCell ref="G13:H13"/>
    <mergeCell ref="G14:H14"/>
    <mergeCell ref="G22:H22"/>
    <mergeCell ref="G23:H23"/>
    <mergeCell ref="G25:H25"/>
    <mergeCell ref="G26:H26"/>
    <mergeCell ref="J5:N5"/>
    <mergeCell ref="J7:N7"/>
    <mergeCell ref="J8:L8"/>
    <mergeCell ref="M8:N8"/>
    <mergeCell ref="J9:L9"/>
    <mergeCell ref="M9:N9"/>
    <mergeCell ref="J10:L10"/>
    <mergeCell ref="M10:N10"/>
    <mergeCell ref="J11:L11"/>
    <mergeCell ref="M11:N11"/>
    <mergeCell ref="G17:H17"/>
    <mergeCell ref="G18:H18"/>
    <mergeCell ref="J12:L12"/>
    <mergeCell ref="M12:N12"/>
    <mergeCell ref="J13:L13"/>
    <mergeCell ref="M13:N13"/>
    <mergeCell ref="J16:N16"/>
    <mergeCell ref="J17:L17"/>
    <mergeCell ref="M17:N17"/>
    <mergeCell ref="J18:L18"/>
    <mergeCell ref="M18:N18"/>
    <mergeCell ref="J19:L19"/>
    <mergeCell ref="M19:N19"/>
    <mergeCell ref="J20:L20"/>
    <mergeCell ref="M20:N20"/>
    <mergeCell ref="J21:L21"/>
    <mergeCell ref="M21:N21"/>
    <mergeCell ref="J22:L22"/>
    <mergeCell ref="M22:N22"/>
    <mergeCell ref="G28:N28"/>
    <mergeCell ref="J23:L23"/>
    <mergeCell ref="M23:N23"/>
    <mergeCell ref="J25:L25"/>
    <mergeCell ref="M25:N25"/>
    <mergeCell ref="J26:L26"/>
    <mergeCell ref="M26:N26"/>
  </mergeCells>
  <conditionalFormatting sqref="G13:H13">
    <cfRule type="cellIs" dxfId="7" priority="3" operator="equal">
      <formula>"Sim"</formula>
    </cfRule>
    <cfRule type="cellIs" dxfId="6" priority="4" operator="equal">
      <formula>"Não"</formula>
    </cfRule>
  </conditionalFormatting>
  <conditionalFormatting sqref="M12:N12">
    <cfRule type="cellIs" dxfId="5" priority="1" operator="equal">
      <formula>"Sim"</formula>
    </cfRule>
    <cfRule type="cellIs" dxfId="4" priority="2" operator="equal">
      <formula>"Não"</formula>
    </cfRule>
  </conditionalFormatting>
  <dataValidations count="2">
    <dataValidation type="list" allowBlank="1" showInputMessage="1" showErrorMessage="1" sqref="G13:H13 M12:N12" xr:uid="{78F47B2C-2402-4F3F-AB97-22F759EBF88A}">
      <formula1>"Sim, Não"</formula1>
    </dataValidation>
    <dataValidation type="list" allowBlank="1" showInputMessage="1" showErrorMessage="1" sqref="G14:H14 M13:N13" xr:uid="{A7714C70-3668-4D43-9CBB-F605F0DEF197}">
      <mc:AlternateContent xmlns:x12ac="http://schemas.microsoft.com/office/spreadsheetml/2011/1/ac" xmlns:mc="http://schemas.openxmlformats.org/markup-compatibility/2006">
        <mc:Choice Requires="x12ac">
          <x12ac:list>"22,50%"," 20,00%"," 17,50%"," 15,00%"</x12ac:list>
        </mc:Choice>
        <mc:Fallback>
          <formula1>"22,50%, 20,00%, 17,50%, 15,00%"</formula1>
        </mc:Fallback>
      </mc:AlternateContent>
    </dataValidation>
  </dataValidation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D4C82-0B79-47DD-978B-C8E354535AB6}">
  <sheetPr>
    <tabColor theme="4" tint="-0.249977111117893"/>
  </sheetPr>
  <dimension ref="D2:P19"/>
  <sheetViews>
    <sheetView workbookViewId="0">
      <selection activeCell="E2" sqref="E2:O2"/>
    </sheetView>
  </sheetViews>
  <sheetFormatPr defaultRowHeight="15" x14ac:dyDescent="0.25"/>
  <cols>
    <col min="1" max="4" width="10.7109375" style="1" customWidth="1"/>
    <col min="5" max="16384" width="9.140625" style="1"/>
  </cols>
  <sheetData>
    <row r="2" spans="5:15" ht="32.25" x14ac:dyDescent="0.25">
      <c r="E2" s="70" t="s">
        <v>7</v>
      </c>
      <c r="F2" s="70"/>
      <c r="G2" s="70"/>
      <c r="H2" s="70"/>
      <c r="I2" s="70"/>
      <c r="J2" s="70"/>
      <c r="K2" s="70"/>
      <c r="L2" s="70"/>
      <c r="M2" s="70"/>
      <c r="N2" s="70"/>
      <c r="O2" s="70"/>
    </row>
    <row r="5" spans="5:15" ht="15.75" x14ac:dyDescent="0.25">
      <c r="E5" s="71" t="s">
        <v>49</v>
      </c>
      <c r="F5" s="71"/>
      <c r="G5" s="71"/>
      <c r="H5" s="71"/>
      <c r="I5" s="71"/>
      <c r="K5" s="71" t="s">
        <v>48</v>
      </c>
      <c r="L5" s="71"/>
      <c r="M5" s="71"/>
      <c r="N5" s="71"/>
      <c r="O5" s="71"/>
    </row>
    <row r="6" spans="5:15" ht="15.75" x14ac:dyDescent="0.25">
      <c r="E6" s="107" t="s">
        <v>46</v>
      </c>
      <c r="F6" s="107"/>
      <c r="G6" s="107" t="s">
        <v>47</v>
      </c>
      <c r="H6" s="107"/>
      <c r="I6" s="107"/>
      <c r="K6" s="107" t="s">
        <v>47</v>
      </c>
      <c r="L6" s="107"/>
      <c r="M6" s="107" t="s">
        <v>46</v>
      </c>
      <c r="N6" s="107"/>
      <c r="O6" s="107"/>
    </row>
    <row r="7" spans="5:15" s="2" customFormat="1" ht="15.75" x14ac:dyDescent="0.25">
      <c r="E7" s="105">
        <v>5.4999999999999997E-3</v>
      </c>
      <c r="F7" s="105"/>
      <c r="G7" s="108">
        <f>((E7+1)^12)-1</f>
        <v>6.8033559467648441E-2</v>
      </c>
      <c r="H7" s="108"/>
      <c r="I7" s="108"/>
      <c r="K7" s="105">
        <v>7.0000000000000007E-2</v>
      </c>
      <c r="L7" s="105"/>
      <c r="M7" s="108">
        <f>((K7+1)^(1/12))-1</f>
        <v>5.6541453874052738E-3</v>
      </c>
      <c r="N7" s="108"/>
      <c r="O7" s="108"/>
    </row>
    <row r="9" spans="5:15" ht="15.75" x14ac:dyDescent="0.25">
      <c r="E9" s="71" t="s">
        <v>50</v>
      </c>
      <c r="F9" s="71"/>
      <c r="G9" s="71"/>
      <c r="H9" s="71"/>
      <c r="I9" s="71"/>
      <c r="K9" s="71" t="s">
        <v>53</v>
      </c>
      <c r="L9" s="71"/>
      <c r="M9" s="71"/>
      <c r="N9" s="71"/>
      <c r="O9" s="71"/>
    </row>
    <row r="10" spans="5:15" ht="15.75" x14ac:dyDescent="0.25">
      <c r="E10" s="107" t="s">
        <v>46</v>
      </c>
      <c r="F10" s="107"/>
      <c r="G10" s="107" t="s">
        <v>51</v>
      </c>
      <c r="H10" s="107"/>
      <c r="I10" s="107"/>
      <c r="K10" s="107" t="s">
        <v>47</v>
      </c>
      <c r="L10" s="107"/>
      <c r="M10" s="107" t="s">
        <v>51</v>
      </c>
      <c r="N10" s="107"/>
      <c r="O10" s="107"/>
    </row>
    <row r="11" spans="5:15" ht="15.75" x14ac:dyDescent="0.25">
      <c r="E11" s="105">
        <v>5.1000000000000004E-3</v>
      </c>
      <c r="F11" s="105"/>
      <c r="G11" s="106">
        <f>((E11+1)^(1/21))-1</f>
        <v>2.4226929716020251E-4</v>
      </c>
      <c r="H11" s="106"/>
      <c r="I11" s="106"/>
      <c r="K11" s="105">
        <v>6.3899999999999998E-2</v>
      </c>
      <c r="L11" s="105"/>
      <c r="M11" s="106">
        <f>((K11+1)^(1/252))-1</f>
        <v>2.4582942356277115E-4</v>
      </c>
      <c r="N11" s="106"/>
      <c r="O11" s="106"/>
    </row>
    <row r="13" spans="5:15" ht="15.75" x14ac:dyDescent="0.25">
      <c r="E13" s="71" t="s">
        <v>52</v>
      </c>
      <c r="F13" s="71"/>
      <c r="G13" s="71"/>
      <c r="H13" s="71"/>
      <c r="I13" s="71"/>
      <c r="K13" s="71" t="s">
        <v>54</v>
      </c>
      <c r="L13" s="71"/>
      <c r="M13" s="71"/>
      <c r="N13" s="71"/>
      <c r="O13" s="71"/>
    </row>
    <row r="14" spans="5:15" ht="15.75" x14ac:dyDescent="0.25">
      <c r="E14" s="107" t="s">
        <v>51</v>
      </c>
      <c r="F14" s="107"/>
      <c r="G14" s="107" t="s">
        <v>46</v>
      </c>
      <c r="H14" s="107"/>
      <c r="I14" s="107"/>
      <c r="K14" s="107" t="s">
        <v>51</v>
      </c>
      <c r="L14" s="107"/>
      <c r="M14" s="107" t="s">
        <v>47</v>
      </c>
      <c r="N14" s="107"/>
      <c r="O14" s="107"/>
    </row>
    <row r="15" spans="5:15" ht="15.75" x14ac:dyDescent="0.25">
      <c r="E15" s="105">
        <v>2.0000000000000001E-4</v>
      </c>
      <c r="F15" s="105"/>
      <c r="G15" s="108">
        <f>((E15+1)^21)-1</f>
        <v>4.2084106495821061E-3</v>
      </c>
      <c r="H15" s="108"/>
      <c r="I15" s="108"/>
      <c r="K15" s="105">
        <v>1E-3</v>
      </c>
      <c r="L15" s="105"/>
      <c r="M15" s="108">
        <f>((K15+1)^252)-1</f>
        <v>0.28643404437614373</v>
      </c>
      <c r="N15" s="108"/>
      <c r="O15" s="108"/>
    </row>
    <row r="17" spans="4:16" ht="15.75" x14ac:dyDescent="0.25">
      <c r="D17" s="71" t="s">
        <v>55</v>
      </c>
      <c r="E17" s="71"/>
      <c r="F17" s="71"/>
      <c r="G17" s="71"/>
      <c r="H17" s="71"/>
      <c r="I17" s="71"/>
      <c r="K17" s="71" t="s">
        <v>56</v>
      </c>
      <c r="L17" s="71"/>
      <c r="M17" s="71"/>
      <c r="N17" s="71"/>
      <c r="O17" s="71"/>
      <c r="P17" s="71"/>
    </row>
    <row r="18" spans="4:16" s="2" customFormat="1" ht="15.75" customHeight="1" x14ac:dyDescent="0.25">
      <c r="D18" s="3" t="s">
        <v>57</v>
      </c>
      <c r="E18" s="3" t="s">
        <v>58</v>
      </c>
      <c r="F18" s="3" t="s">
        <v>60</v>
      </c>
      <c r="G18" s="3" t="s">
        <v>59</v>
      </c>
      <c r="H18" s="109" t="s">
        <v>61</v>
      </c>
      <c r="I18" s="109"/>
      <c r="J18" s="4"/>
      <c r="K18" s="109" t="s">
        <v>57</v>
      </c>
      <c r="L18" s="109"/>
      <c r="M18" s="109" t="s">
        <v>58</v>
      </c>
      <c r="N18" s="109"/>
      <c r="O18" s="109" t="s">
        <v>61</v>
      </c>
      <c r="P18" s="109"/>
    </row>
    <row r="19" spans="4:16" s="2" customFormat="1" ht="15.75" x14ac:dyDescent="0.25">
      <c r="D19" s="5">
        <v>4.4999999999999998E-2</v>
      </c>
      <c r="E19" s="5">
        <v>0.03</v>
      </c>
      <c r="F19" s="5">
        <v>0</v>
      </c>
      <c r="G19" s="5">
        <v>0</v>
      </c>
      <c r="H19" s="108">
        <f>((1+D19)*(1+E19)*(1+F19)*(1+G19))-1</f>
        <v>7.6349999999999918E-2</v>
      </c>
      <c r="I19" s="108"/>
      <c r="K19" s="105">
        <v>8.3199999999999996E-2</v>
      </c>
      <c r="L19" s="105"/>
      <c r="M19" s="105">
        <v>4.9799999999999997E-2</v>
      </c>
      <c r="N19" s="105"/>
      <c r="O19" s="108">
        <f>((1+K19)/(1+M19))-1</f>
        <v>3.1815583920746793E-2</v>
      </c>
      <c r="P19" s="108"/>
    </row>
  </sheetData>
  <mergeCells count="41">
    <mergeCell ref="O18:P18"/>
    <mergeCell ref="M18:N18"/>
    <mergeCell ref="K18:L18"/>
    <mergeCell ref="H19:I19"/>
    <mergeCell ref="O19:P19"/>
    <mergeCell ref="K19:L19"/>
    <mergeCell ref="M19:N19"/>
    <mergeCell ref="H18:I18"/>
    <mergeCell ref="K15:L15"/>
    <mergeCell ref="M15:O15"/>
    <mergeCell ref="D17:I17"/>
    <mergeCell ref="K17:P17"/>
    <mergeCell ref="G14:I14"/>
    <mergeCell ref="E15:F15"/>
    <mergeCell ref="G15:I15"/>
    <mergeCell ref="K10:L10"/>
    <mergeCell ref="M10:O10"/>
    <mergeCell ref="K11:L11"/>
    <mergeCell ref="M11:O11"/>
    <mergeCell ref="M14:O14"/>
    <mergeCell ref="K6:L6"/>
    <mergeCell ref="M6:O6"/>
    <mergeCell ref="K7:L7"/>
    <mergeCell ref="M7:O7"/>
    <mergeCell ref="K9:O9"/>
    <mergeCell ref="E11:F11"/>
    <mergeCell ref="G11:I11"/>
    <mergeCell ref="E13:I13"/>
    <mergeCell ref="E14:F14"/>
    <mergeCell ref="E2:O2"/>
    <mergeCell ref="E9:I9"/>
    <mergeCell ref="E10:F10"/>
    <mergeCell ref="G10:I10"/>
    <mergeCell ref="E5:I5"/>
    <mergeCell ref="K5:O5"/>
    <mergeCell ref="E6:F6"/>
    <mergeCell ref="G6:I6"/>
    <mergeCell ref="E7:F7"/>
    <mergeCell ref="G7:I7"/>
    <mergeCell ref="K13:O13"/>
    <mergeCell ref="K14:L14"/>
  </mergeCell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39A50-9F2E-4389-B6C4-D1072AEB710B}">
  <sheetPr>
    <tabColor theme="4" tint="-0.499984740745262"/>
  </sheetPr>
  <dimension ref="D2:Q19"/>
  <sheetViews>
    <sheetView workbookViewId="0">
      <selection activeCell="D2" sqref="D2:Q2"/>
    </sheetView>
  </sheetViews>
  <sheetFormatPr defaultRowHeight="15" x14ac:dyDescent="0.25"/>
  <cols>
    <col min="1" max="3" width="8.5703125" style="1" customWidth="1"/>
    <col min="4" max="4" width="10.7109375" style="1" customWidth="1"/>
    <col min="5" max="16384" width="9.140625" style="1"/>
  </cols>
  <sheetData>
    <row r="2" spans="4:17" ht="32.25" x14ac:dyDescent="0.25">
      <c r="D2" s="70" t="s">
        <v>8</v>
      </c>
      <c r="E2" s="70"/>
      <c r="F2" s="70"/>
      <c r="G2" s="70"/>
      <c r="H2" s="70"/>
      <c r="I2" s="70"/>
      <c r="J2" s="70"/>
      <c r="K2" s="70"/>
      <c r="L2" s="70"/>
      <c r="M2" s="70"/>
      <c r="N2" s="70"/>
      <c r="O2" s="70"/>
      <c r="P2" s="70"/>
      <c r="Q2" s="70"/>
    </row>
    <row r="5" spans="4:17" ht="15.75" x14ac:dyDescent="0.25">
      <c r="D5" s="110" t="s">
        <v>338</v>
      </c>
      <c r="E5" s="111"/>
      <c r="F5" s="112"/>
      <c r="G5" s="113"/>
      <c r="I5" s="114" t="s">
        <v>337</v>
      </c>
      <c r="J5" s="112"/>
      <c r="K5" s="112"/>
      <c r="L5" s="113"/>
      <c r="N5" s="114" t="s">
        <v>339</v>
      </c>
      <c r="O5" s="112"/>
      <c r="P5" s="112"/>
      <c r="Q5" s="113"/>
    </row>
    <row r="6" spans="4:17" ht="15.75" x14ac:dyDescent="0.25">
      <c r="D6" s="115" t="s">
        <v>340</v>
      </c>
      <c r="E6" s="116"/>
      <c r="F6" s="117">
        <v>0</v>
      </c>
      <c r="G6" s="118"/>
      <c r="I6" s="115" t="s">
        <v>344</v>
      </c>
      <c r="J6" s="116"/>
      <c r="K6" s="117">
        <v>1000</v>
      </c>
      <c r="L6" s="118"/>
      <c r="N6" s="115" t="s">
        <v>344</v>
      </c>
      <c r="O6" s="116"/>
      <c r="P6" s="117">
        <v>10000</v>
      </c>
      <c r="Q6" s="118"/>
    </row>
    <row r="7" spans="4:17" ht="15.75" x14ac:dyDescent="0.25">
      <c r="D7" s="115" t="s">
        <v>341</v>
      </c>
      <c r="E7" s="116"/>
      <c r="F7" s="119">
        <v>250000</v>
      </c>
      <c r="G7" s="120"/>
      <c r="I7" s="115" t="s">
        <v>343</v>
      </c>
      <c r="J7" s="116"/>
      <c r="K7" s="123">
        <v>5.0000000000000001E-3</v>
      </c>
      <c r="L7" s="124"/>
      <c r="N7" s="115" t="s">
        <v>341</v>
      </c>
      <c r="O7" s="116"/>
      <c r="P7" s="117">
        <v>15000</v>
      </c>
      <c r="Q7" s="118"/>
    </row>
    <row r="8" spans="4:17" ht="15.75" x14ac:dyDescent="0.25">
      <c r="D8" s="115" t="s">
        <v>342</v>
      </c>
      <c r="E8" s="116"/>
      <c r="F8" s="121">
        <v>36</v>
      </c>
      <c r="G8" s="122"/>
      <c r="I8" s="115" t="s">
        <v>342</v>
      </c>
      <c r="J8" s="116"/>
      <c r="K8" s="121">
        <v>3</v>
      </c>
      <c r="L8" s="122"/>
      <c r="N8" s="115" t="s">
        <v>342</v>
      </c>
      <c r="O8" s="116"/>
      <c r="P8" s="121">
        <v>10</v>
      </c>
      <c r="Q8" s="122"/>
    </row>
    <row r="9" spans="4:17" ht="15.75" x14ac:dyDescent="0.25">
      <c r="D9" s="115" t="s">
        <v>343</v>
      </c>
      <c r="E9" s="116"/>
      <c r="F9" s="123">
        <v>8.3999999999999995E-3</v>
      </c>
      <c r="G9" s="124"/>
      <c r="I9" s="115" t="s">
        <v>340</v>
      </c>
      <c r="J9" s="116"/>
      <c r="K9" s="117">
        <v>0</v>
      </c>
      <c r="L9" s="118"/>
      <c r="N9" s="115" t="s">
        <v>340</v>
      </c>
      <c r="O9" s="116"/>
      <c r="P9" s="117">
        <v>100</v>
      </c>
      <c r="Q9" s="118"/>
    </row>
    <row r="11" spans="4:17" ht="15.75" x14ac:dyDescent="0.25">
      <c r="D11" s="115" t="s">
        <v>347</v>
      </c>
      <c r="E11" s="116"/>
      <c r="F11" s="127">
        <f>PV(F9,F8,F6,F7)*-1</f>
        <v>184994.09949048475</v>
      </c>
      <c r="G11" s="128"/>
      <c r="I11" s="115" t="s">
        <v>350</v>
      </c>
      <c r="J11" s="116"/>
      <c r="K11" s="127">
        <f>FV(K7,K8,K9,K6)*-1</f>
        <v>1015.0751249999996</v>
      </c>
      <c r="L11" s="128"/>
      <c r="N11" s="115" t="s">
        <v>351</v>
      </c>
      <c r="O11" s="116"/>
      <c r="P11" s="125">
        <f>RATE(P8,P9,P6,-P7)</f>
        <v>3.3013497804822545E-2</v>
      </c>
      <c r="Q11" s="126"/>
    </row>
    <row r="13" spans="4:17" ht="15.75" x14ac:dyDescent="0.25">
      <c r="D13" s="110" t="s">
        <v>345</v>
      </c>
      <c r="E13" s="111"/>
      <c r="F13" s="112"/>
      <c r="G13" s="113"/>
      <c r="I13" s="110" t="s">
        <v>346</v>
      </c>
      <c r="J13" s="111"/>
      <c r="K13" s="112"/>
      <c r="L13" s="113"/>
    </row>
    <row r="14" spans="4:17" ht="15.75" x14ac:dyDescent="0.25">
      <c r="D14" s="115" t="s">
        <v>344</v>
      </c>
      <c r="E14" s="116"/>
      <c r="F14" s="117">
        <v>0</v>
      </c>
      <c r="G14" s="118"/>
      <c r="I14" s="115" t="s">
        <v>344</v>
      </c>
      <c r="J14" s="116"/>
      <c r="K14" s="117">
        <v>1000</v>
      </c>
      <c r="L14" s="118"/>
    </row>
    <row r="15" spans="4:17" ht="15.75" x14ac:dyDescent="0.25">
      <c r="D15" s="115" t="s">
        <v>341</v>
      </c>
      <c r="E15" s="116"/>
      <c r="F15" s="117">
        <v>200000</v>
      </c>
      <c r="G15" s="118"/>
      <c r="I15" s="115" t="s">
        <v>341</v>
      </c>
      <c r="J15" s="116"/>
      <c r="K15" s="117">
        <v>2000</v>
      </c>
      <c r="L15" s="118"/>
    </row>
    <row r="16" spans="4:17" ht="15.75" x14ac:dyDescent="0.25">
      <c r="D16" s="115" t="s">
        <v>342</v>
      </c>
      <c r="E16" s="116"/>
      <c r="F16" s="121">
        <v>120</v>
      </c>
      <c r="G16" s="122"/>
      <c r="I16" s="115" t="s">
        <v>343</v>
      </c>
      <c r="J16" s="116"/>
      <c r="K16" s="123">
        <v>5.0000000000000001E-3</v>
      </c>
      <c r="L16" s="124"/>
    </row>
    <row r="17" spans="4:12" ht="15.75" x14ac:dyDescent="0.25">
      <c r="D17" s="115" t="s">
        <v>343</v>
      </c>
      <c r="E17" s="116"/>
      <c r="F17" s="123">
        <v>5.0000000000000001E-3</v>
      </c>
      <c r="G17" s="124"/>
      <c r="I17" s="115" t="s">
        <v>340</v>
      </c>
      <c r="J17" s="116"/>
      <c r="K17" s="117">
        <v>100</v>
      </c>
      <c r="L17" s="118"/>
    </row>
    <row r="19" spans="4:12" ht="15.75" x14ac:dyDescent="0.25">
      <c r="D19" s="115" t="s">
        <v>348</v>
      </c>
      <c r="E19" s="116"/>
      <c r="F19" s="127">
        <f>PMT(F17,F16,F14,F15)*-1</f>
        <v>1220.4100388329889</v>
      </c>
      <c r="G19" s="128"/>
      <c r="I19" s="115" t="s">
        <v>349</v>
      </c>
      <c r="J19" s="116"/>
      <c r="K19" s="129">
        <f>NPER(K16,K17,K14,-K15)</f>
        <v>9.3272437997618187</v>
      </c>
      <c r="L19" s="130"/>
    </row>
  </sheetData>
  <mergeCells count="56">
    <mergeCell ref="D17:E17"/>
    <mergeCell ref="F17:G17"/>
    <mergeCell ref="D19:E19"/>
    <mergeCell ref="F19:G19"/>
    <mergeCell ref="I15:J15"/>
    <mergeCell ref="K15:L15"/>
    <mergeCell ref="I17:J17"/>
    <mergeCell ref="K17:L17"/>
    <mergeCell ref="I19:J19"/>
    <mergeCell ref="K19:L19"/>
    <mergeCell ref="F11:G11"/>
    <mergeCell ref="D11:E11"/>
    <mergeCell ref="I11:J11"/>
    <mergeCell ref="K11:L11"/>
    <mergeCell ref="K16:L16"/>
    <mergeCell ref="I16:J16"/>
    <mergeCell ref="D13:G13"/>
    <mergeCell ref="D14:E14"/>
    <mergeCell ref="F14:G14"/>
    <mergeCell ref="D15:E15"/>
    <mergeCell ref="F15:G15"/>
    <mergeCell ref="D16:E16"/>
    <mergeCell ref="F16:G16"/>
    <mergeCell ref="I13:L13"/>
    <mergeCell ref="I14:J14"/>
    <mergeCell ref="K14:L14"/>
    <mergeCell ref="N6:O6"/>
    <mergeCell ref="P6:Q6"/>
    <mergeCell ref="N7:O7"/>
    <mergeCell ref="P7:Q7"/>
    <mergeCell ref="N8:O8"/>
    <mergeCell ref="P8:Q8"/>
    <mergeCell ref="I8:J8"/>
    <mergeCell ref="K8:L8"/>
    <mergeCell ref="I9:J9"/>
    <mergeCell ref="N11:O11"/>
    <mergeCell ref="P11:Q11"/>
    <mergeCell ref="K9:L9"/>
    <mergeCell ref="N9:O9"/>
    <mergeCell ref="P9:Q9"/>
    <mergeCell ref="D5:G5"/>
    <mergeCell ref="I5:L5"/>
    <mergeCell ref="N5:Q5"/>
    <mergeCell ref="D2:Q2"/>
    <mergeCell ref="D9:E9"/>
    <mergeCell ref="D8:E8"/>
    <mergeCell ref="D7:E7"/>
    <mergeCell ref="D6:E6"/>
    <mergeCell ref="F6:G6"/>
    <mergeCell ref="F7:G7"/>
    <mergeCell ref="F8:G8"/>
    <mergeCell ref="F9:G9"/>
    <mergeCell ref="I6:J6"/>
    <mergeCell ref="K6:L6"/>
    <mergeCell ref="I7:J7"/>
    <mergeCell ref="K7:L7"/>
  </mergeCell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F7DED-B46D-4E53-92F6-D626184ED3F4}">
  <sheetPr>
    <tabColor theme="4" tint="-0.249977111117893"/>
  </sheetPr>
  <dimension ref="C2:O20"/>
  <sheetViews>
    <sheetView workbookViewId="0">
      <selection activeCell="C2" sqref="C2:O2"/>
    </sheetView>
  </sheetViews>
  <sheetFormatPr defaultRowHeight="15" x14ac:dyDescent="0.25"/>
  <cols>
    <col min="1" max="2" width="12.140625" style="1" customWidth="1"/>
    <col min="3" max="3" width="10.7109375" style="1" customWidth="1"/>
    <col min="4" max="5" width="9.140625" style="1"/>
    <col min="6" max="7" width="12.140625" style="1" customWidth="1"/>
    <col min="8" max="12" width="9.140625" style="1"/>
    <col min="13" max="14" width="12.140625" style="1" customWidth="1"/>
    <col min="15" max="16384" width="9.140625" style="1"/>
  </cols>
  <sheetData>
    <row r="2" spans="3:15" ht="32.25" x14ac:dyDescent="0.25">
      <c r="C2" s="70" t="s">
        <v>223</v>
      </c>
      <c r="D2" s="70"/>
      <c r="E2" s="70"/>
      <c r="F2" s="70"/>
      <c r="G2" s="70"/>
      <c r="H2" s="70"/>
      <c r="I2" s="70"/>
      <c r="J2" s="70"/>
      <c r="K2" s="70"/>
      <c r="L2" s="70"/>
      <c r="M2" s="70"/>
      <c r="N2" s="70"/>
      <c r="O2" s="70"/>
    </row>
    <row r="5" spans="3:15" ht="15.75" x14ac:dyDescent="0.25">
      <c r="C5" s="132" t="s">
        <v>226</v>
      </c>
      <c r="D5" s="133"/>
      <c r="E5" s="133"/>
      <c r="F5" s="133"/>
      <c r="G5" s="133"/>
      <c r="H5" s="134"/>
      <c r="I5" s="2"/>
      <c r="J5" s="132" t="s">
        <v>227</v>
      </c>
      <c r="K5" s="133"/>
      <c r="L5" s="133"/>
      <c r="M5" s="133"/>
      <c r="N5" s="133"/>
      <c r="O5" s="134"/>
    </row>
    <row r="6" spans="3:15" ht="15.75" x14ac:dyDescent="0.25">
      <c r="C6" s="2"/>
      <c r="D6" s="2"/>
      <c r="E6" s="2"/>
      <c r="F6" s="2"/>
      <c r="G6" s="2"/>
      <c r="H6" s="2"/>
      <c r="I6" s="2"/>
      <c r="J6" s="2"/>
      <c r="K6" s="2"/>
      <c r="L6" s="2"/>
      <c r="M6" s="2"/>
      <c r="N6" s="2"/>
      <c r="O6" s="2"/>
    </row>
    <row r="7" spans="3:15" ht="15.75" x14ac:dyDescent="0.25">
      <c r="C7" s="131" t="s">
        <v>224</v>
      </c>
      <c r="D7" s="131"/>
      <c r="E7" s="20" t="s">
        <v>169</v>
      </c>
      <c r="F7" s="131" t="s">
        <v>218</v>
      </c>
      <c r="G7" s="131"/>
      <c r="H7" s="20" t="s">
        <v>225</v>
      </c>
      <c r="I7" s="2"/>
      <c r="J7" s="131" t="s">
        <v>224</v>
      </c>
      <c r="K7" s="131"/>
      <c r="L7" s="20" t="s">
        <v>169</v>
      </c>
      <c r="M7" s="131" t="s">
        <v>218</v>
      </c>
      <c r="N7" s="131"/>
      <c r="O7" s="20" t="s">
        <v>225</v>
      </c>
    </row>
    <row r="8" spans="3:15" ht="11.25" customHeight="1" x14ac:dyDescent="0.25"/>
    <row r="9" spans="3:15" ht="15.75" x14ac:dyDescent="0.25">
      <c r="C9" s="135">
        <v>200000</v>
      </c>
      <c r="D9" s="135"/>
      <c r="E9" s="31">
        <f>C9/$C$20</f>
        <v>0.66666666666666663</v>
      </c>
      <c r="F9" s="109" t="s">
        <v>228</v>
      </c>
      <c r="G9" s="109"/>
      <c r="H9" s="33">
        <v>6.1699999999999998E-2</v>
      </c>
      <c r="J9" s="136">
        <v>100000</v>
      </c>
      <c r="K9" s="136"/>
      <c r="L9" s="31">
        <f>J9/$J$20</f>
        <v>0.5</v>
      </c>
      <c r="M9" s="107" t="s">
        <v>229</v>
      </c>
      <c r="N9" s="107"/>
      <c r="O9" s="34">
        <v>8.4699999999999998E-2</v>
      </c>
    </row>
    <row r="10" spans="3:15" ht="15.75" x14ac:dyDescent="0.25">
      <c r="C10" s="135">
        <v>100000</v>
      </c>
      <c r="D10" s="135"/>
      <c r="E10" s="31">
        <f t="shared" ref="E10:E18" si="0">C10/$C$20</f>
        <v>0.33333333333333331</v>
      </c>
      <c r="F10" s="109"/>
      <c r="G10" s="109"/>
      <c r="H10" s="33"/>
      <c r="J10" s="136">
        <v>100000</v>
      </c>
      <c r="K10" s="136"/>
      <c r="L10" s="31">
        <f t="shared" ref="L10:L18" si="1">J10/$J$20</f>
        <v>0.5</v>
      </c>
      <c r="M10" s="107" t="s">
        <v>230</v>
      </c>
      <c r="N10" s="107"/>
      <c r="O10" s="34">
        <v>6.3799999999999996E-2</v>
      </c>
    </row>
    <row r="11" spans="3:15" ht="15.75" x14ac:dyDescent="0.25">
      <c r="C11" s="135">
        <v>0</v>
      </c>
      <c r="D11" s="135"/>
      <c r="E11" s="31">
        <f t="shared" si="0"/>
        <v>0</v>
      </c>
      <c r="F11" s="109"/>
      <c r="G11" s="109"/>
      <c r="H11" s="33"/>
      <c r="J11" s="136">
        <v>0</v>
      </c>
      <c r="K11" s="136"/>
      <c r="L11" s="31">
        <f t="shared" si="1"/>
        <v>0</v>
      </c>
      <c r="M11" s="107"/>
      <c r="N11" s="107"/>
      <c r="O11" s="34"/>
    </row>
    <row r="12" spans="3:15" ht="15.75" x14ac:dyDescent="0.25">
      <c r="C12" s="135">
        <v>0</v>
      </c>
      <c r="D12" s="135"/>
      <c r="E12" s="31">
        <f t="shared" si="0"/>
        <v>0</v>
      </c>
      <c r="F12" s="109"/>
      <c r="G12" s="109"/>
      <c r="H12" s="33"/>
      <c r="J12" s="136">
        <v>0</v>
      </c>
      <c r="K12" s="136"/>
      <c r="L12" s="31">
        <f t="shared" si="1"/>
        <v>0</v>
      </c>
      <c r="M12" s="107"/>
      <c r="N12" s="107"/>
      <c r="O12" s="34"/>
    </row>
    <row r="13" spans="3:15" ht="15.75" x14ac:dyDescent="0.25">
      <c r="C13" s="135">
        <v>0</v>
      </c>
      <c r="D13" s="135"/>
      <c r="E13" s="31">
        <f t="shared" si="0"/>
        <v>0</v>
      </c>
      <c r="F13" s="109"/>
      <c r="G13" s="109"/>
      <c r="H13" s="33"/>
      <c r="J13" s="136">
        <v>0</v>
      </c>
      <c r="K13" s="136"/>
      <c r="L13" s="31">
        <f t="shared" si="1"/>
        <v>0</v>
      </c>
      <c r="M13" s="107"/>
      <c r="N13" s="107"/>
      <c r="O13" s="34"/>
    </row>
    <row r="14" spans="3:15" ht="15.75" x14ac:dyDescent="0.25">
      <c r="C14" s="135">
        <v>0</v>
      </c>
      <c r="D14" s="135"/>
      <c r="E14" s="31">
        <f t="shared" si="0"/>
        <v>0</v>
      </c>
      <c r="F14" s="109"/>
      <c r="G14" s="109"/>
      <c r="H14" s="33"/>
      <c r="J14" s="136">
        <v>0</v>
      </c>
      <c r="K14" s="136"/>
      <c r="L14" s="31">
        <f t="shared" si="1"/>
        <v>0</v>
      </c>
      <c r="M14" s="107"/>
      <c r="N14" s="107"/>
      <c r="O14" s="34"/>
    </row>
    <row r="15" spans="3:15" ht="15.75" x14ac:dyDescent="0.25">
      <c r="C15" s="135">
        <v>0</v>
      </c>
      <c r="D15" s="135"/>
      <c r="E15" s="31">
        <f t="shared" si="0"/>
        <v>0</v>
      </c>
      <c r="F15" s="109"/>
      <c r="G15" s="109"/>
      <c r="H15" s="33"/>
      <c r="J15" s="136">
        <v>0</v>
      </c>
      <c r="K15" s="136"/>
      <c r="L15" s="31">
        <f t="shared" si="1"/>
        <v>0</v>
      </c>
      <c r="M15" s="107"/>
      <c r="N15" s="107"/>
      <c r="O15" s="34"/>
    </row>
    <row r="16" spans="3:15" ht="15.75" x14ac:dyDescent="0.25">
      <c r="C16" s="135">
        <v>0</v>
      </c>
      <c r="D16" s="135"/>
      <c r="E16" s="31">
        <f t="shared" si="0"/>
        <v>0</v>
      </c>
      <c r="F16" s="109"/>
      <c r="G16" s="109"/>
      <c r="H16" s="33"/>
      <c r="J16" s="136">
        <v>0</v>
      </c>
      <c r="K16" s="136"/>
      <c r="L16" s="31">
        <f t="shared" si="1"/>
        <v>0</v>
      </c>
      <c r="M16" s="107"/>
      <c r="N16" s="107"/>
      <c r="O16" s="34"/>
    </row>
    <row r="17" spans="3:15" ht="15.75" x14ac:dyDescent="0.25">
      <c r="C17" s="135">
        <v>0</v>
      </c>
      <c r="D17" s="135"/>
      <c r="E17" s="31">
        <f t="shared" si="0"/>
        <v>0</v>
      </c>
      <c r="F17" s="109"/>
      <c r="G17" s="109"/>
      <c r="H17" s="33"/>
      <c r="J17" s="136">
        <v>0</v>
      </c>
      <c r="K17" s="136"/>
      <c r="L17" s="31">
        <f t="shared" si="1"/>
        <v>0</v>
      </c>
      <c r="M17" s="107"/>
      <c r="N17" s="107"/>
      <c r="O17" s="34"/>
    </row>
    <row r="18" spans="3:15" ht="15.75" x14ac:dyDescent="0.25">
      <c r="C18" s="135">
        <v>0</v>
      </c>
      <c r="D18" s="135"/>
      <c r="E18" s="31">
        <f t="shared" si="0"/>
        <v>0</v>
      </c>
      <c r="F18" s="109"/>
      <c r="G18" s="109"/>
      <c r="H18" s="33"/>
      <c r="J18" s="136">
        <v>0</v>
      </c>
      <c r="K18" s="136"/>
      <c r="L18" s="31">
        <f t="shared" si="1"/>
        <v>0</v>
      </c>
      <c r="M18" s="107"/>
      <c r="N18" s="107"/>
      <c r="O18" s="34"/>
    </row>
    <row r="20" spans="3:15" ht="15.75" x14ac:dyDescent="0.25">
      <c r="C20" s="137">
        <f>SUM(C9:D18)</f>
        <v>300000</v>
      </c>
      <c r="D20" s="138"/>
      <c r="E20" s="32">
        <f>SUM(E9:E18)</f>
        <v>1</v>
      </c>
      <c r="H20" s="35">
        <f>SUMPRODUCT(E9:E18,H9:H18)</f>
        <v>4.1133333333333327E-2</v>
      </c>
      <c r="J20" s="137">
        <f>SUM(J9:K18)</f>
        <v>200000</v>
      </c>
      <c r="K20" s="138"/>
      <c r="L20" s="32">
        <f>SUM(L9:L18)</f>
        <v>1</v>
      </c>
      <c r="O20" s="35">
        <f>SUMPRODUCT(L9:L18,O9:O18)</f>
        <v>7.4249999999999997E-2</v>
      </c>
    </row>
  </sheetData>
  <mergeCells count="49">
    <mergeCell ref="C20:D20"/>
    <mergeCell ref="J20:K20"/>
    <mergeCell ref="C2:O2"/>
    <mergeCell ref="J16:K16"/>
    <mergeCell ref="M16:N16"/>
    <mergeCell ref="J17:K17"/>
    <mergeCell ref="M17:N17"/>
    <mergeCell ref="J18:K18"/>
    <mergeCell ref="M18:N18"/>
    <mergeCell ref="J13:K13"/>
    <mergeCell ref="M13:N13"/>
    <mergeCell ref="J14:K14"/>
    <mergeCell ref="M14:N14"/>
    <mergeCell ref="J15:K15"/>
    <mergeCell ref="M15:N15"/>
    <mergeCell ref="C18:D18"/>
    <mergeCell ref="F18:G18"/>
    <mergeCell ref="J9:K9"/>
    <mergeCell ref="M9:N9"/>
    <mergeCell ref="J10:K10"/>
    <mergeCell ref="M10:N10"/>
    <mergeCell ref="J11:K11"/>
    <mergeCell ref="M11:N11"/>
    <mergeCell ref="J12:K12"/>
    <mergeCell ref="M12:N12"/>
    <mergeCell ref="C15:D15"/>
    <mergeCell ref="F15:G15"/>
    <mergeCell ref="C16:D16"/>
    <mergeCell ref="F16:G16"/>
    <mergeCell ref="C17:D17"/>
    <mergeCell ref="F17:G17"/>
    <mergeCell ref="C12:D12"/>
    <mergeCell ref="F12:G12"/>
    <mergeCell ref="C13:D13"/>
    <mergeCell ref="F13:G13"/>
    <mergeCell ref="C14:D14"/>
    <mergeCell ref="F14:G14"/>
    <mergeCell ref="C9:D9"/>
    <mergeCell ref="F9:G9"/>
    <mergeCell ref="C10:D10"/>
    <mergeCell ref="F10:G10"/>
    <mergeCell ref="C11:D11"/>
    <mergeCell ref="F11:G11"/>
    <mergeCell ref="C7:D7"/>
    <mergeCell ref="F7:G7"/>
    <mergeCell ref="C5:H5"/>
    <mergeCell ref="J5:O5"/>
    <mergeCell ref="J7:K7"/>
    <mergeCell ref="M7:N7"/>
  </mergeCell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3B43C-2DD5-4C56-A320-F5151D1F7DCB}">
  <sheetPr>
    <tabColor theme="4" tint="-0.499984740745262"/>
  </sheetPr>
  <dimension ref="B2:Q32"/>
  <sheetViews>
    <sheetView workbookViewId="0">
      <selection activeCell="C2" sqref="C2:Q2"/>
    </sheetView>
  </sheetViews>
  <sheetFormatPr defaultRowHeight="15" x14ac:dyDescent="0.25"/>
  <cols>
    <col min="1" max="2" width="11.42578125" style="1" customWidth="1"/>
    <col min="3" max="16384" width="9.140625" style="1"/>
  </cols>
  <sheetData>
    <row r="2" spans="2:17" ht="32.25" x14ac:dyDescent="0.25">
      <c r="C2" s="70" t="s">
        <v>10</v>
      </c>
      <c r="D2" s="70"/>
      <c r="E2" s="70"/>
      <c r="F2" s="70"/>
      <c r="G2" s="70"/>
      <c r="H2" s="70"/>
      <c r="I2" s="70"/>
      <c r="J2" s="70"/>
      <c r="K2" s="70"/>
      <c r="L2" s="70"/>
      <c r="M2" s="70"/>
      <c r="N2" s="70"/>
      <c r="O2" s="70"/>
      <c r="P2" s="70"/>
      <c r="Q2" s="70"/>
    </row>
    <row r="3" spans="2:17" x14ac:dyDescent="0.25">
      <c r="B3"/>
    </row>
    <row r="5" spans="2:17" ht="15.75" x14ac:dyDescent="0.25">
      <c r="C5" s="131" t="s">
        <v>369</v>
      </c>
      <c r="D5" s="131"/>
      <c r="E5" s="142" t="s">
        <v>370</v>
      </c>
      <c r="F5" s="143"/>
      <c r="G5" s="143"/>
      <c r="H5" s="143"/>
      <c r="I5" s="143"/>
      <c r="J5" s="143"/>
      <c r="K5" s="143"/>
      <c r="L5" s="143"/>
      <c r="M5" s="143"/>
      <c r="N5" s="143"/>
      <c r="O5" s="143"/>
      <c r="P5" s="143"/>
      <c r="Q5" s="143"/>
    </row>
    <row r="6" spans="2:17" x14ac:dyDescent="0.25">
      <c r="C6" s="139" t="s">
        <v>371</v>
      </c>
      <c r="D6" s="139"/>
      <c r="E6" s="140" t="s">
        <v>375</v>
      </c>
      <c r="F6" s="140"/>
      <c r="G6" s="141"/>
      <c r="H6" s="141"/>
      <c r="I6" s="141"/>
      <c r="J6" s="141"/>
      <c r="K6" s="141"/>
      <c r="L6" s="141"/>
      <c r="M6" s="141"/>
      <c r="N6" s="141"/>
      <c r="O6" s="141"/>
      <c r="P6" s="141"/>
      <c r="Q6" s="141"/>
    </row>
    <row r="7" spans="2:17" x14ac:dyDescent="0.25">
      <c r="C7" s="139"/>
      <c r="D7" s="139"/>
      <c r="E7" s="141"/>
      <c r="F7" s="141"/>
      <c r="G7" s="141"/>
      <c r="H7" s="141"/>
      <c r="I7" s="141"/>
      <c r="J7" s="141"/>
      <c r="K7" s="141"/>
      <c r="L7" s="141"/>
      <c r="M7" s="141"/>
      <c r="N7" s="141"/>
      <c r="O7" s="141"/>
      <c r="P7" s="141"/>
      <c r="Q7" s="141"/>
    </row>
    <row r="8" spans="2:17" x14ac:dyDescent="0.25">
      <c r="C8" s="139"/>
      <c r="D8" s="139"/>
      <c r="E8" s="141"/>
      <c r="F8" s="141"/>
      <c r="G8" s="141"/>
      <c r="H8" s="141"/>
      <c r="I8" s="141"/>
      <c r="J8" s="141"/>
      <c r="K8" s="141"/>
      <c r="L8" s="141"/>
      <c r="M8" s="141"/>
      <c r="N8" s="141"/>
      <c r="O8" s="141"/>
      <c r="P8" s="141"/>
      <c r="Q8" s="141"/>
    </row>
    <row r="9" spans="2:17" x14ac:dyDescent="0.25">
      <c r="C9" s="139"/>
      <c r="D9" s="139"/>
      <c r="E9" s="141"/>
      <c r="F9" s="141"/>
      <c r="G9" s="141"/>
      <c r="H9" s="141"/>
      <c r="I9" s="141"/>
      <c r="J9" s="141"/>
      <c r="K9" s="141"/>
      <c r="L9" s="141"/>
      <c r="M9" s="141"/>
      <c r="N9" s="141"/>
      <c r="O9" s="141"/>
      <c r="P9" s="141"/>
      <c r="Q9" s="141"/>
    </row>
    <row r="10" spans="2:17" x14ac:dyDescent="0.25">
      <c r="C10" s="139"/>
      <c r="D10" s="139"/>
      <c r="E10" s="141"/>
      <c r="F10" s="141"/>
      <c r="G10" s="141"/>
      <c r="H10" s="141"/>
      <c r="I10" s="141"/>
      <c r="J10" s="141"/>
      <c r="K10" s="141"/>
      <c r="L10" s="141"/>
      <c r="M10" s="141"/>
      <c r="N10" s="141"/>
      <c r="O10" s="141"/>
      <c r="P10" s="141"/>
      <c r="Q10" s="141"/>
    </row>
    <row r="11" spans="2:17" x14ac:dyDescent="0.25">
      <c r="C11" s="139"/>
      <c r="D11" s="139"/>
      <c r="E11" s="141"/>
      <c r="F11" s="141"/>
      <c r="G11" s="141"/>
      <c r="H11" s="141"/>
      <c r="I11" s="141"/>
      <c r="J11" s="141"/>
      <c r="K11" s="141"/>
      <c r="L11" s="141"/>
      <c r="M11" s="141"/>
      <c r="N11" s="141"/>
      <c r="O11" s="141"/>
      <c r="P11" s="141"/>
      <c r="Q11" s="141"/>
    </row>
    <row r="12" spans="2:17" x14ac:dyDescent="0.25">
      <c r="C12" s="139" t="s">
        <v>372</v>
      </c>
      <c r="D12" s="139"/>
      <c r="E12" s="144" t="s">
        <v>374</v>
      </c>
      <c r="F12" s="144"/>
      <c r="G12" s="145"/>
      <c r="H12" s="145"/>
      <c r="I12" s="145"/>
      <c r="J12" s="145"/>
      <c r="K12" s="145"/>
      <c r="L12" s="145"/>
      <c r="M12" s="145"/>
      <c r="N12" s="145"/>
      <c r="O12" s="145"/>
      <c r="P12" s="145"/>
      <c r="Q12" s="145"/>
    </row>
    <row r="13" spans="2:17" x14ac:dyDescent="0.25">
      <c r="C13" s="139"/>
      <c r="D13" s="139"/>
      <c r="E13" s="144"/>
      <c r="F13" s="144"/>
      <c r="G13" s="145"/>
      <c r="H13" s="145"/>
      <c r="I13" s="145"/>
      <c r="J13" s="145"/>
      <c r="K13" s="145"/>
      <c r="L13" s="145"/>
      <c r="M13" s="145"/>
      <c r="N13" s="145"/>
      <c r="O13" s="145"/>
      <c r="P13" s="145"/>
      <c r="Q13" s="145"/>
    </row>
    <row r="14" spans="2:17" x14ac:dyDescent="0.25">
      <c r="C14" s="139"/>
      <c r="D14" s="139"/>
      <c r="E14" s="145"/>
      <c r="F14" s="145"/>
      <c r="G14" s="145"/>
      <c r="H14" s="145"/>
      <c r="I14" s="145"/>
      <c r="J14" s="145"/>
      <c r="K14" s="145"/>
      <c r="L14" s="145"/>
      <c r="M14" s="145"/>
      <c r="N14" s="145"/>
      <c r="O14" s="145"/>
      <c r="P14" s="145"/>
      <c r="Q14" s="145"/>
    </row>
    <row r="15" spans="2:17" x14ac:dyDescent="0.25">
      <c r="C15" s="139"/>
      <c r="D15" s="139"/>
      <c r="E15" s="145"/>
      <c r="F15" s="145"/>
      <c r="G15" s="145"/>
      <c r="H15" s="145"/>
      <c r="I15" s="145"/>
      <c r="J15" s="145"/>
      <c r="K15" s="145"/>
      <c r="L15" s="145"/>
      <c r="M15" s="145"/>
      <c r="N15" s="145"/>
      <c r="O15" s="145"/>
      <c r="P15" s="145"/>
      <c r="Q15" s="145"/>
    </row>
    <row r="16" spans="2:17" x14ac:dyDescent="0.25">
      <c r="C16" s="139"/>
      <c r="D16" s="139"/>
      <c r="E16" s="145"/>
      <c r="F16" s="145"/>
      <c r="G16" s="145"/>
      <c r="H16" s="145"/>
      <c r="I16" s="145"/>
      <c r="J16" s="145"/>
      <c r="K16" s="145"/>
      <c r="L16" s="145"/>
      <c r="M16" s="145"/>
      <c r="N16" s="145"/>
      <c r="O16" s="145"/>
      <c r="P16" s="145"/>
      <c r="Q16" s="145"/>
    </row>
    <row r="17" spans="3:17" x14ac:dyDescent="0.25">
      <c r="C17" s="139" t="s">
        <v>79</v>
      </c>
      <c r="D17" s="139"/>
      <c r="E17" s="140" t="s">
        <v>377</v>
      </c>
      <c r="F17" s="140"/>
      <c r="G17" s="140"/>
      <c r="H17" s="140"/>
      <c r="I17" s="140"/>
      <c r="J17" s="140"/>
      <c r="K17" s="140"/>
      <c r="L17" s="140"/>
      <c r="M17" s="140"/>
      <c r="N17" s="140"/>
      <c r="O17" s="140"/>
      <c r="P17" s="140"/>
      <c r="Q17" s="140"/>
    </row>
    <row r="18" spans="3:17" x14ac:dyDescent="0.25">
      <c r="C18" s="139"/>
      <c r="D18" s="139"/>
      <c r="E18" s="140"/>
      <c r="F18" s="140"/>
      <c r="G18" s="140"/>
      <c r="H18" s="140"/>
      <c r="I18" s="140"/>
      <c r="J18" s="140"/>
      <c r="K18" s="140"/>
      <c r="L18" s="140"/>
      <c r="M18" s="140"/>
      <c r="N18" s="140"/>
      <c r="O18" s="140"/>
      <c r="P18" s="140"/>
      <c r="Q18" s="140"/>
    </row>
    <row r="19" spans="3:17" x14ac:dyDescent="0.25">
      <c r="C19" s="139"/>
      <c r="D19" s="139"/>
      <c r="E19" s="140"/>
      <c r="F19" s="140"/>
      <c r="G19" s="140"/>
      <c r="H19" s="140"/>
      <c r="I19" s="140"/>
      <c r="J19" s="140"/>
      <c r="K19" s="140"/>
      <c r="L19" s="140"/>
      <c r="M19" s="140"/>
      <c r="N19" s="140"/>
      <c r="O19" s="140"/>
      <c r="P19" s="140"/>
      <c r="Q19" s="140"/>
    </row>
    <row r="20" spans="3:17" x14ac:dyDescent="0.25">
      <c r="C20" s="139"/>
      <c r="D20" s="139"/>
      <c r="E20" s="140"/>
      <c r="F20" s="140"/>
      <c r="G20" s="140"/>
      <c r="H20" s="140"/>
      <c r="I20" s="140"/>
      <c r="J20" s="140"/>
      <c r="K20" s="140"/>
      <c r="L20" s="140"/>
      <c r="M20" s="140"/>
      <c r="N20" s="140"/>
      <c r="O20" s="140"/>
      <c r="P20" s="140"/>
      <c r="Q20" s="140"/>
    </row>
    <row r="21" spans="3:17" x14ac:dyDescent="0.25">
      <c r="C21" s="139"/>
      <c r="D21" s="139"/>
      <c r="E21" s="140"/>
      <c r="F21" s="140"/>
      <c r="G21" s="140"/>
      <c r="H21" s="140"/>
      <c r="I21" s="140"/>
      <c r="J21" s="140"/>
      <c r="K21" s="140"/>
      <c r="L21" s="140"/>
      <c r="M21" s="140"/>
      <c r="N21" s="140"/>
      <c r="O21" s="140"/>
      <c r="P21" s="140"/>
      <c r="Q21" s="140"/>
    </row>
    <row r="22" spans="3:17" x14ac:dyDescent="0.25">
      <c r="C22" s="139" t="s">
        <v>373</v>
      </c>
      <c r="D22" s="139"/>
      <c r="E22" s="140" t="s">
        <v>378</v>
      </c>
      <c r="F22" s="140"/>
      <c r="G22" s="141"/>
      <c r="H22" s="141"/>
      <c r="I22" s="141"/>
      <c r="J22" s="141"/>
      <c r="K22" s="141"/>
      <c r="L22" s="141"/>
      <c r="M22" s="141"/>
      <c r="N22" s="141"/>
      <c r="O22" s="141"/>
      <c r="P22" s="141"/>
      <c r="Q22" s="141"/>
    </row>
    <row r="23" spans="3:17" x14ac:dyDescent="0.25">
      <c r="C23" s="139"/>
      <c r="D23" s="139"/>
      <c r="E23" s="141"/>
      <c r="F23" s="141"/>
      <c r="G23" s="141"/>
      <c r="H23" s="141"/>
      <c r="I23" s="141"/>
      <c r="J23" s="141"/>
      <c r="K23" s="141"/>
      <c r="L23" s="141"/>
      <c r="M23" s="141"/>
      <c r="N23" s="141"/>
      <c r="O23" s="141"/>
      <c r="P23" s="141"/>
      <c r="Q23" s="141"/>
    </row>
    <row r="24" spans="3:17" x14ac:dyDescent="0.25">
      <c r="C24" s="139"/>
      <c r="D24" s="139"/>
      <c r="E24" s="141"/>
      <c r="F24" s="141"/>
      <c r="G24" s="141"/>
      <c r="H24" s="141"/>
      <c r="I24" s="141"/>
      <c r="J24" s="141"/>
      <c r="K24" s="141"/>
      <c r="L24" s="141"/>
      <c r="M24" s="141"/>
      <c r="N24" s="141"/>
      <c r="O24" s="141"/>
      <c r="P24" s="141"/>
      <c r="Q24" s="141"/>
    </row>
    <row r="25" spans="3:17" x14ac:dyDescent="0.25">
      <c r="C25" s="139"/>
      <c r="D25" s="139"/>
      <c r="E25" s="141"/>
      <c r="F25" s="141"/>
      <c r="G25" s="141"/>
      <c r="H25" s="141"/>
      <c r="I25" s="141"/>
      <c r="J25" s="141"/>
      <c r="K25" s="141"/>
      <c r="L25" s="141"/>
      <c r="M25" s="141"/>
      <c r="N25" s="141"/>
      <c r="O25" s="141"/>
      <c r="P25" s="141"/>
      <c r="Q25" s="141"/>
    </row>
    <row r="26" spans="3:17" x14ac:dyDescent="0.25">
      <c r="C26" s="139"/>
      <c r="D26" s="139"/>
      <c r="E26" s="141"/>
      <c r="F26" s="141"/>
      <c r="G26" s="141"/>
      <c r="H26" s="141"/>
      <c r="I26" s="141"/>
      <c r="J26" s="141"/>
      <c r="K26" s="141"/>
      <c r="L26" s="141"/>
      <c r="M26" s="141"/>
      <c r="N26" s="141"/>
      <c r="O26" s="141"/>
      <c r="P26" s="141"/>
      <c r="Q26" s="141"/>
    </row>
    <row r="27" spans="3:17" x14ac:dyDescent="0.25">
      <c r="C27" s="139" t="s">
        <v>376</v>
      </c>
      <c r="D27" s="139"/>
      <c r="E27" s="140" t="s">
        <v>379</v>
      </c>
      <c r="F27" s="140"/>
      <c r="G27" s="141"/>
      <c r="H27" s="141"/>
      <c r="I27" s="141"/>
      <c r="J27" s="141"/>
      <c r="K27" s="141"/>
      <c r="L27" s="141"/>
      <c r="M27" s="141"/>
      <c r="N27" s="141"/>
      <c r="O27" s="141"/>
      <c r="P27" s="141"/>
      <c r="Q27" s="141"/>
    </row>
    <row r="28" spans="3:17" x14ac:dyDescent="0.25">
      <c r="C28" s="139"/>
      <c r="D28" s="139"/>
      <c r="E28" s="141"/>
      <c r="F28" s="141"/>
      <c r="G28" s="141"/>
      <c r="H28" s="141"/>
      <c r="I28" s="141"/>
      <c r="J28" s="141"/>
      <c r="K28" s="141"/>
      <c r="L28" s="141"/>
      <c r="M28" s="141"/>
      <c r="N28" s="141"/>
      <c r="O28" s="141"/>
      <c r="P28" s="141"/>
      <c r="Q28" s="141"/>
    </row>
    <row r="29" spans="3:17" x14ac:dyDescent="0.25">
      <c r="C29" s="139"/>
      <c r="D29" s="139"/>
      <c r="E29" s="141"/>
      <c r="F29" s="141"/>
      <c r="G29" s="141"/>
      <c r="H29" s="141"/>
      <c r="I29" s="141"/>
      <c r="J29" s="141"/>
      <c r="K29" s="141"/>
      <c r="L29" s="141"/>
      <c r="M29" s="141"/>
      <c r="N29" s="141"/>
      <c r="O29" s="141"/>
      <c r="P29" s="141"/>
      <c r="Q29" s="141"/>
    </row>
    <row r="30" spans="3:17" x14ac:dyDescent="0.25">
      <c r="C30" s="139"/>
      <c r="D30" s="139"/>
      <c r="E30" s="141"/>
      <c r="F30" s="141"/>
      <c r="G30" s="141"/>
      <c r="H30" s="141"/>
      <c r="I30" s="141"/>
      <c r="J30" s="141"/>
      <c r="K30" s="141"/>
      <c r="L30" s="141"/>
      <c r="M30" s="141"/>
      <c r="N30" s="141"/>
      <c r="O30" s="141"/>
      <c r="P30" s="141"/>
      <c r="Q30" s="141"/>
    </row>
    <row r="31" spans="3:17" x14ac:dyDescent="0.25">
      <c r="C31" s="139"/>
      <c r="D31" s="139"/>
      <c r="E31" s="141"/>
      <c r="F31" s="141"/>
      <c r="G31" s="141"/>
      <c r="H31" s="141"/>
      <c r="I31" s="141"/>
      <c r="J31" s="141"/>
      <c r="K31" s="141"/>
      <c r="L31" s="141"/>
      <c r="M31" s="141"/>
      <c r="N31" s="141"/>
      <c r="O31" s="141"/>
      <c r="P31" s="141"/>
      <c r="Q31" s="141"/>
    </row>
    <row r="32" spans="3:17" x14ac:dyDescent="0.25">
      <c r="C32" s="139"/>
      <c r="D32" s="139"/>
      <c r="E32" s="141"/>
      <c r="F32" s="141"/>
      <c r="G32" s="141"/>
      <c r="H32" s="141"/>
      <c r="I32" s="141"/>
      <c r="J32" s="141"/>
      <c r="K32" s="141"/>
      <c r="L32" s="141"/>
      <c r="M32" s="141"/>
      <c r="N32" s="141"/>
      <c r="O32" s="141"/>
      <c r="P32" s="141"/>
      <c r="Q32" s="141"/>
    </row>
  </sheetData>
  <mergeCells count="13">
    <mergeCell ref="C27:D32"/>
    <mergeCell ref="E27:Q32"/>
    <mergeCell ref="E5:Q5"/>
    <mergeCell ref="C2:Q2"/>
    <mergeCell ref="E6:Q11"/>
    <mergeCell ref="C12:D16"/>
    <mergeCell ref="C17:D21"/>
    <mergeCell ref="C22:D26"/>
    <mergeCell ref="C5:D5"/>
    <mergeCell ref="C6:D11"/>
    <mergeCell ref="E12:Q16"/>
    <mergeCell ref="E17:Q21"/>
    <mergeCell ref="E22:Q26"/>
  </mergeCells>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B1B1D-9C82-42C9-AF1E-33A04EFC9BBB}">
  <sheetPr>
    <tabColor theme="4" tint="-0.249977111117893"/>
  </sheetPr>
  <dimension ref="F2:O55"/>
  <sheetViews>
    <sheetView workbookViewId="0">
      <selection activeCell="F2" sqref="F2:O2"/>
    </sheetView>
  </sheetViews>
  <sheetFormatPr defaultRowHeight="15" x14ac:dyDescent="0.25"/>
  <cols>
    <col min="1" max="5" width="10.7109375" style="1" customWidth="1"/>
    <col min="6" max="16384" width="9.140625" style="1"/>
  </cols>
  <sheetData>
    <row r="2" spans="6:15" ht="32.25" x14ac:dyDescent="0.25">
      <c r="F2" s="70" t="s">
        <v>11</v>
      </c>
      <c r="G2" s="70"/>
      <c r="H2" s="70"/>
      <c r="I2" s="70"/>
      <c r="J2" s="70"/>
      <c r="K2" s="70"/>
      <c r="L2" s="70"/>
      <c r="M2" s="70"/>
      <c r="N2" s="70"/>
      <c r="O2" s="70"/>
    </row>
    <row r="6" spans="6:15" ht="15.75" x14ac:dyDescent="0.25">
      <c r="G6" s="147" t="s">
        <v>138</v>
      </c>
      <c r="H6" s="147"/>
      <c r="I6" s="147"/>
      <c r="J6" s="147" t="s">
        <v>139</v>
      </c>
      <c r="K6" s="147"/>
      <c r="L6" s="147"/>
      <c r="M6" s="147"/>
      <c r="N6" s="147"/>
    </row>
    <row r="7" spans="6:15" ht="16.5" customHeight="1" x14ac:dyDescent="0.25">
      <c r="G7" s="148">
        <v>39</v>
      </c>
      <c r="H7" s="148"/>
      <c r="I7" s="148"/>
      <c r="J7" s="146" t="s">
        <v>89</v>
      </c>
      <c r="K7" s="146"/>
      <c r="L7" s="146"/>
      <c r="M7" s="146"/>
      <c r="N7" s="146"/>
    </row>
    <row r="8" spans="6:15" ht="16.5" customHeight="1" x14ac:dyDescent="0.25">
      <c r="G8" s="148">
        <v>4</v>
      </c>
      <c r="H8" s="148"/>
      <c r="I8" s="148"/>
      <c r="J8" s="146" t="s">
        <v>90</v>
      </c>
      <c r="K8" s="146"/>
      <c r="L8" s="146"/>
      <c r="M8" s="146"/>
      <c r="N8" s="146"/>
    </row>
    <row r="9" spans="6:15" ht="16.5" customHeight="1" x14ac:dyDescent="0.25">
      <c r="G9" s="148">
        <v>147</v>
      </c>
      <c r="H9" s="148"/>
      <c r="I9" s="148"/>
      <c r="J9" s="146" t="s">
        <v>91</v>
      </c>
      <c r="K9" s="146"/>
      <c r="L9" s="146"/>
      <c r="M9" s="146"/>
      <c r="N9" s="146"/>
    </row>
    <row r="10" spans="6:15" ht="16.5" customHeight="1" x14ac:dyDescent="0.25">
      <c r="G10" s="148">
        <v>251</v>
      </c>
      <c r="H10" s="148"/>
      <c r="I10" s="148"/>
      <c r="J10" s="146" t="s">
        <v>92</v>
      </c>
      <c r="K10" s="146"/>
      <c r="L10" s="146"/>
      <c r="M10" s="146"/>
      <c r="N10" s="146"/>
    </row>
    <row r="11" spans="6:15" ht="16.5" customHeight="1" x14ac:dyDescent="0.25">
      <c r="G11" s="148">
        <v>497</v>
      </c>
      <c r="H11" s="148"/>
      <c r="I11" s="148"/>
      <c r="J11" s="146" t="s">
        <v>93</v>
      </c>
      <c r="K11" s="146"/>
      <c r="L11" s="146"/>
      <c r="M11" s="146"/>
      <c r="N11" s="146"/>
    </row>
    <row r="12" spans="6:15" ht="16.5" customHeight="1" x14ac:dyDescent="0.25">
      <c r="G12" s="148">
        <v>622</v>
      </c>
      <c r="H12" s="148"/>
      <c r="I12" s="148"/>
      <c r="J12" s="146" t="s">
        <v>94</v>
      </c>
      <c r="K12" s="146"/>
      <c r="L12" s="146"/>
      <c r="M12" s="146"/>
      <c r="N12" s="146"/>
    </row>
    <row r="13" spans="6:15" ht="16.5" customHeight="1" x14ac:dyDescent="0.25">
      <c r="G13" s="148">
        <v>122</v>
      </c>
      <c r="H13" s="148"/>
      <c r="I13" s="148"/>
      <c r="J13" s="146" t="s">
        <v>95</v>
      </c>
      <c r="K13" s="146"/>
      <c r="L13" s="146"/>
      <c r="M13" s="146"/>
      <c r="N13" s="146"/>
    </row>
    <row r="14" spans="6:15" ht="16.5" customHeight="1" x14ac:dyDescent="0.25">
      <c r="G14" s="148">
        <v>999999</v>
      </c>
      <c r="H14" s="148"/>
      <c r="I14" s="148"/>
      <c r="J14" s="146" t="s">
        <v>96</v>
      </c>
      <c r="K14" s="146"/>
      <c r="L14" s="146"/>
      <c r="M14" s="146"/>
      <c r="N14" s="146"/>
    </row>
    <row r="15" spans="6:15" ht="16.5" customHeight="1" x14ac:dyDescent="0.25">
      <c r="G15" s="148">
        <v>72</v>
      </c>
      <c r="H15" s="148"/>
      <c r="I15" s="148"/>
      <c r="J15" s="146" t="s">
        <v>97</v>
      </c>
      <c r="K15" s="146"/>
      <c r="L15" s="146"/>
      <c r="M15" s="146"/>
      <c r="N15" s="146"/>
    </row>
    <row r="16" spans="6:15" ht="16.5" customHeight="1" x14ac:dyDescent="0.25">
      <c r="G16" s="148">
        <v>70</v>
      </c>
      <c r="H16" s="148"/>
      <c r="I16" s="148"/>
      <c r="J16" s="146" t="s">
        <v>98</v>
      </c>
      <c r="K16" s="146"/>
      <c r="L16" s="146"/>
      <c r="M16" s="146"/>
      <c r="N16" s="146"/>
    </row>
    <row r="17" spans="7:14" ht="16.5" customHeight="1" x14ac:dyDescent="0.25">
      <c r="G17" s="148">
        <v>85</v>
      </c>
      <c r="H17" s="148"/>
      <c r="I17" s="148"/>
      <c r="J17" s="146" t="s">
        <v>99</v>
      </c>
      <c r="K17" s="146"/>
      <c r="L17" s="146"/>
      <c r="M17" s="146"/>
      <c r="N17" s="146"/>
    </row>
    <row r="18" spans="7:14" ht="16.5" customHeight="1" x14ac:dyDescent="0.25">
      <c r="G18" s="148">
        <v>298</v>
      </c>
      <c r="H18" s="148"/>
      <c r="I18" s="148"/>
      <c r="J18" s="146" t="s">
        <v>100</v>
      </c>
      <c r="K18" s="146"/>
      <c r="L18" s="146"/>
      <c r="M18" s="146"/>
      <c r="N18" s="146"/>
    </row>
    <row r="19" spans="7:14" ht="16.5" customHeight="1" x14ac:dyDescent="0.25">
      <c r="G19" s="148">
        <v>308</v>
      </c>
      <c r="H19" s="148"/>
      <c r="I19" s="148"/>
      <c r="J19" s="146" t="s">
        <v>101</v>
      </c>
      <c r="K19" s="146"/>
      <c r="L19" s="146"/>
      <c r="M19" s="146"/>
      <c r="N19" s="146"/>
    </row>
    <row r="20" spans="7:14" ht="16.5" customHeight="1" x14ac:dyDescent="0.25">
      <c r="G20" s="148">
        <v>88</v>
      </c>
      <c r="H20" s="148"/>
      <c r="I20" s="148"/>
      <c r="J20" s="146" t="s">
        <v>102</v>
      </c>
      <c r="K20" s="146"/>
      <c r="L20" s="146"/>
      <c r="M20" s="146"/>
      <c r="N20" s="146"/>
    </row>
    <row r="21" spans="7:14" ht="16.5" customHeight="1" x14ac:dyDescent="0.25">
      <c r="G21" s="148">
        <v>74</v>
      </c>
      <c r="H21" s="148"/>
      <c r="I21" s="148"/>
      <c r="J21" s="146" t="s">
        <v>103</v>
      </c>
      <c r="K21" s="146"/>
      <c r="L21" s="146"/>
      <c r="M21" s="146"/>
      <c r="N21" s="146"/>
    </row>
    <row r="22" spans="7:14" ht="16.5" customHeight="1" x14ac:dyDescent="0.25">
      <c r="G22" s="148">
        <v>45</v>
      </c>
      <c r="H22" s="148"/>
      <c r="I22" s="148"/>
      <c r="J22" s="146" t="s">
        <v>104</v>
      </c>
      <c r="K22" s="146"/>
      <c r="L22" s="146"/>
      <c r="M22" s="146"/>
      <c r="N22" s="146"/>
    </row>
    <row r="23" spans="7:14" ht="16.5" customHeight="1" x14ac:dyDescent="0.25">
      <c r="G23" s="148">
        <v>9</v>
      </c>
      <c r="H23" s="148"/>
      <c r="I23" s="148"/>
      <c r="J23" s="146" t="s">
        <v>105</v>
      </c>
      <c r="K23" s="146"/>
      <c r="L23" s="146"/>
      <c r="M23" s="146"/>
      <c r="N23" s="146"/>
    </row>
    <row r="24" spans="7:14" ht="16.5" customHeight="1" x14ac:dyDescent="0.25">
      <c r="G24" s="148">
        <v>131</v>
      </c>
      <c r="H24" s="148"/>
      <c r="I24" s="148"/>
      <c r="J24" s="146" t="s">
        <v>106</v>
      </c>
      <c r="K24" s="146"/>
      <c r="L24" s="146"/>
      <c r="M24" s="146"/>
      <c r="N24" s="146"/>
    </row>
    <row r="25" spans="7:14" ht="16.5" customHeight="1" x14ac:dyDescent="0.25">
      <c r="G25" s="148">
        <v>120</v>
      </c>
      <c r="H25" s="148"/>
      <c r="I25" s="148"/>
      <c r="J25" s="146" t="s">
        <v>107</v>
      </c>
      <c r="K25" s="146"/>
      <c r="L25" s="146"/>
      <c r="M25" s="146"/>
      <c r="N25" s="146"/>
    </row>
    <row r="26" spans="7:14" ht="16.5" customHeight="1" x14ac:dyDescent="0.25">
      <c r="G26" s="148">
        <v>238</v>
      </c>
      <c r="H26" s="148"/>
      <c r="I26" s="148"/>
      <c r="J26" s="146" t="s">
        <v>108</v>
      </c>
      <c r="K26" s="146"/>
      <c r="L26" s="146"/>
      <c r="M26" s="146"/>
      <c r="N26" s="146"/>
    </row>
    <row r="27" spans="7:14" ht="16.5" customHeight="1" x14ac:dyDescent="0.25">
      <c r="G27" s="148">
        <v>15</v>
      </c>
      <c r="H27" s="148"/>
      <c r="I27" s="148"/>
      <c r="J27" s="146" t="s">
        <v>109</v>
      </c>
      <c r="K27" s="146"/>
      <c r="L27" s="146"/>
      <c r="M27" s="146"/>
      <c r="N27" s="146"/>
    </row>
    <row r="28" spans="7:14" ht="16.5" customHeight="1" x14ac:dyDescent="0.25">
      <c r="G28" s="148">
        <v>115</v>
      </c>
      <c r="H28" s="148"/>
      <c r="I28" s="148"/>
      <c r="J28" s="146" t="s">
        <v>110</v>
      </c>
      <c r="K28" s="146"/>
      <c r="L28" s="146"/>
      <c r="M28" s="146"/>
      <c r="N28" s="146"/>
    </row>
    <row r="29" spans="7:14" ht="16.5" customHeight="1" x14ac:dyDescent="0.25">
      <c r="G29" s="148">
        <v>54</v>
      </c>
      <c r="H29" s="148"/>
      <c r="I29" s="148"/>
      <c r="J29" s="146" t="s">
        <v>111</v>
      </c>
      <c r="K29" s="146"/>
      <c r="L29" s="146"/>
      <c r="M29" s="146"/>
      <c r="N29" s="146"/>
    </row>
    <row r="30" spans="7:14" ht="16.5" customHeight="1" x14ac:dyDescent="0.25">
      <c r="G30" s="148">
        <v>735</v>
      </c>
      <c r="H30" s="148"/>
      <c r="I30" s="148"/>
      <c r="J30" s="146" t="s">
        <v>112</v>
      </c>
      <c r="K30" s="146"/>
      <c r="L30" s="146"/>
      <c r="M30" s="146"/>
      <c r="N30" s="146"/>
    </row>
    <row r="31" spans="7:14" ht="16.5" customHeight="1" x14ac:dyDescent="0.25">
      <c r="G31" s="148">
        <v>41</v>
      </c>
      <c r="H31" s="148"/>
      <c r="I31" s="148"/>
      <c r="J31" s="146" t="s">
        <v>113</v>
      </c>
      <c r="K31" s="146"/>
      <c r="L31" s="146"/>
      <c r="M31" s="146"/>
      <c r="N31" s="146"/>
    </row>
    <row r="32" spans="7:14" ht="16.5" customHeight="1" x14ac:dyDescent="0.25">
      <c r="G32" s="148">
        <v>239</v>
      </c>
      <c r="H32" s="148"/>
      <c r="I32" s="148"/>
      <c r="J32" s="146" t="s">
        <v>114</v>
      </c>
      <c r="K32" s="146"/>
      <c r="L32" s="146"/>
      <c r="M32" s="146"/>
      <c r="N32" s="146"/>
    </row>
    <row r="33" spans="7:14" ht="16.5" customHeight="1" x14ac:dyDescent="0.25">
      <c r="G33" s="148">
        <v>1130</v>
      </c>
      <c r="H33" s="148"/>
      <c r="I33" s="148"/>
      <c r="J33" s="146" t="s">
        <v>115</v>
      </c>
      <c r="K33" s="146"/>
      <c r="L33" s="146"/>
      <c r="M33" s="146"/>
      <c r="N33" s="146"/>
    </row>
    <row r="34" spans="7:14" ht="16.5" customHeight="1" x14ac:dyDescent="0.25">
      <c r="G34" s="148">
        <v>114</v>
      </c>
      <c r="H34" s="148"/>
      <c r="I34" s="148"/>
      <c r="J34" s="146" t="s">
        <v>116</v>
      </c>
      <c r="K34" s="146"/>
      <c r="L34" s="146"/>
      <c r="M34" s="146"/>
      <c r="N34" s="146"/>
    </row>
    <row r="35" spans="7:14" ht="16.5" customHeight="1" x14ac:dyDescent="0.25">
      <c r="G35" s="148">
        <v>16</v>
      </c>
      <c r="H35" s="148"/>
      <c r="I35" s="148"/>
      <c r="J35" s="146" t="s">
        <v>117</v>
      </c>
      <c r="K35" s="146"/>
      <c r="L35" s="146"/>
      <c r="M35" s="146"/>
      <c r="N35" s="146"/>
    </row>
    <row r="36" spans="7:14" ht="16.5" customHeight="1" x14ac:dyDescent="0.25">
      <c r="G36" s="148">
        <v>13</v>
      </c>
      <c r="H36" s="148"/>
      <c r="I36" s="148"/>
      <c r="J36" s="146" t="s">
        <v>118</v>
      </c>
      <c r="K36" s="146"/>
      <c r="L36" s="146"/>
      <c r="M36" s="146"/>
      <c r="N36" s="146"/>
    </row>
    <row r="37" spans="7:14" ht="16.5" customHeight="1" x14ac:dyDescent="0.25">
      <c r="G37" s="148">
        <v>40</v>
      </c>
      <c r="H37" s="148"/>
      <c r="I37" s="148"/>
      <c r="J37" s="146" t="s">
        <v>119</v>
      </c>
      <c r="K37" s="146"/>
      <c r="L37" s="146"/>
      <c r="M37" s="146"/>
      <c r="N37" s="146"/>
    </row>
    <row r="38" spans="7:14" ht="16.5" customHeight="1" x14ac:dyDescent="0.25">
      <c r="G38" s="148">
        <v>23</v>
      </c>
      <c r="H38" s="148"/>
      <c r="I38" s="148"/>
      <c r="J38" s="146" t="s">
        <v>120</v>
      </c>
      <c r="K38" s="146"/>
      <c r="L38" s="146"/>
      <c r="M38" s="146"/>
      <c r="N38" s="146"/>
    </row>
    <row r="39" spans="7:14" ht="16.5" customHeight="1" x14ac:dyDescent="0.25">
      <c r="G39" s="148">
        <v>93</v>
      </c>
      <c r="H39" s="148"/>
      <c r="I39" s="148"/>
      <c r="J39" s="146" t="s">
        <v>121</v>
      </c>
      <c r="K39" s="146"/>
      <c r="L39" s="146"/>
      <c r="M39" s="146"/>
      <c r="N39" s="146"/>
    </row>
    <row r="40" spans="7:14" ht="16.5" customHeight="1" x14ac:dyDescent="0.25">
      <c r="G40" s="148">
        <v>129</v>
      </c>
      <c r="H40" s="148"/>
      <c r="I40" s="148"/>
      <c r="J40" s="146" t="s">
        <v>122</v>
      </c>
      <c r="K40" s="146"/>
      <c r="L40" s="146"/>
      <c r="M40" s="146"/>
      <c r="N40" s="146"/>
    </row>
    <row r="41" spans="7:14" ht="16.5" customHeight="1" x14ac:dyDescent="0.25">
      <c r="G41" s="148">
        <v>92</v>
      </c>
      <c r="H41" s="148"/>
      <c r="I41" s="148"/>
      <c r="J41" s="146" t="s">
        <v>123</v>
      </c>
      <c r="K41" s="146"/>
      <c r="L41" s="146"/>
      <c r="M41" s="146"/>
      <c r="N41" s="146"/>
    </row>
    <row r="42" spans="7:14" ht="16.5" customHeight="1" x14ac:dyDescent="0.25">
      <c r="G42" s="148">
        <v>386</v>
      </c>
      <c r="H42" s="148"/>
      <c r="I42" s="148"/>
      <c r="J42" s="146" t="s">
        <v>124</v>
      </c>
      <c r="K42" s="146"/>
      <c r="L42" s="146"/>
      <c r="M42" s="146"/>
      <c r="N42" s="146"/>
    </row>
    <row r="43" spans="7:14" ht="16.5" customHeight="1" x14ac:dyDescent="0.25">
      <c r="G43" s="148">
        <v>59</v>
      </c>
      <c r="H43" s="148"/>
      <c r="I43" s="148"/>
      <c r="J43" s="146" t="s">
        <v>125</v>
      </c>
      <c r="K43" s="146"/>
      <c r="L43" s="146"/>
      <c r="M43" s="146"/>
      <c r="N43" s="146"/>
    </row>
    <row r="44" spans="7:14" ht="16.5" customHeight="1" x14ac:dyDescent="0.25">
      <c r="G44" s="148">
        <v>27</v>
      </c>
      <c r="H44" s="148"/>
      <c r="I44" s="148"/>
      <c r="J44" s="146" t="s">
        <v>126</v>
      </c>
      <c r="K44" s="146"/>
      <c r="L44" s="146"/>
      <c r="M44" s="146"/>
      <c r="N44" s="146"/>
    </row>
    <row r="45" spans="7:14" ht="16.5" customHeight="1" x14ac:dyDescent="0.25">
      <c r="G45" s="148">
        <v>58</v>
      </c>
      <c r="H45" s="148"/>
      <c r="I45" s="148"/>
      <c r="J45" s="146" t="s">
        <v>127</v>
      </c>
      <c r="K45" s="146"/>
      <c r="L45" s="146"/>
      <c r="M45" s="146"/>
      <c r="N45" s="146"/>
    </row>
    <row r="46" spans="7:14" ht="16.5" customHeight="1" x14ac:dyDescent="0.25">
      <c r="G46" s="148">
        <v>10</v>
      </c>
      <c r="H46" s="148"/>
      <c r="I46" s="148"/>
      <c r="J46" s="146" t="s">
        <v>128</v>
      </c>
      <c r="K46" s="146"/>
      <c r="L46" s="146"/>
      <c r="M46" s="146"/>
      <c r="N46" s="146"/>
    </row>
    <row r="47" spans="7:14" ht="16.5" customHeight="1" x14ac:dyDescent="0.25">
      <c r="G47" s="148">
        <v>99</v>
      </c>
      <c r="H47" s="148"/>
      <c r="I47" s="148"/>
      <c r="J47" s="146" t="s">
        <v>129</v>
      </c>
      <c r="K47" s="146"/>
      <c r="L47" s="146"/>
      <c r="M47" s="146"/>
      <c r="N47" s="146"/>
    </row>
    <row r="48" spans="7:14" ht="16.5" customHeight="1" x14ac:dyDescent="0.25">
      <c r="G48" s="148">
        <v>107</v>
      </c>
      <c r="H48" s="148"/>
      <c r="I48" s="148"/>
      <c r="J48" s="146" t="s">
        <v>130</v>
      </c>
      <c r="K48" s="146"/>
      <c r="L48" s="146"/>
      <c r="M48" s="146"/>
      <c r="N48" s="146"/>
    </row>
    <row r="49" spans="7:14" ht="16.5" customHeight="1" x14ac:dyDescent="0.25">
      <c r="G49" s="148">
        <v>82</v>
      </c>
      <c r="H49" s="148"/>
      <c r="I49" s="148"/>
      <c r="J49" s="146" t="s">
        <v>131</v>
      </c>
      <c r="K49" s="146"/>
      <c r="L49" s="146"/>
      <c r="M49" s="146"/>
      <c r="N49" s="146"/>
    </row>
    <row r="50" spans="7:14" ht="16.5" customHeight="1" x14ac:dyDescent="0.25">
      <c r="G50" s="148">
        <v>127</v>
      </c>
      <c r="H50" s="148"/>
      <c r="I50" s="148"/>
      <c r="J50" s="146" t="s">
        <v>132</v>
      </c>
      <c r="K50" s="146"/>
      <c r="L50" s="146"/>
      <c r="M50" s="146"/>
      <c r="N50" s="146"/>
    </row>
    <row r="51" spans="7:14" ht="16.5" customHeight="1" x14ac:dyDescent="0.25">
      <c r="G51" s="148">
        <v>8</v>
      </c>
      <c r="H51" s="148"/>
      <c r="I51" s="148"/>
      <c r="J51" s="146" t="s">
        <v>133</v>
      </c>
      <c r="K51" s="146"/>
      <c r="L51" s="146"/>
      <c r="M51" s="146"/>
      <c r="N51" s="146"/>
    </row>
    <row r="52" spans="7:14" ht="16.5" customHeight="1" x14ac:dyDescent="0.25">
      <c r="G52" s="148">
        <v>37</v>
      </c>
      <c r="H52" s="148"/>
      <c r="I52" s="148"/>
      <c r="J52" s="146" t="s">
        <v>134</v>
      </c>
      <c r="K52" s="146"/>
      <c r="L52" s="146"/>
      <c r="M52" s="146"/>
      <c r="N52" s="146"/>
    </row>
    <row r="53" spans="7:14" ht="16.5" customHeight="1" x14ac:dyDescent="0.25">
      <c r="G53" s="148">
        <v>21</v>
      </c>
      <c r="H53" s="148"/>
      <c r="I53" s="148"/>
      <c r="J53" s="146" t="s">
        <v>135</v>
      </c>
      <c r="K53" s="146"/>
      <c r="L53" s="146"/>
      <c r="M53" s="146"/>
      <c r="N53" s="146"/>
    </row>
    <row r="54" spans="7:14" ht="16.5" customHeight="1" x14ac:dyDescent="0.25">
      <c r="G54" s="148">
        <v>86</v>
      </c>
      <c r="H54" s="148"/>
      <c r="I54" s="148"/>
      <c r="J54" s="146" t="s">
        <v>136</v>
      </c>
      <c r="K54" s="146"/>
      <c r="L54" s="146"/>
      <c r="M54" s="146"/>
      <c r="N54" s="146"/>
    </row>
    <row r="55" spans="7:14" ht="16.5" customHeight="1" x14ac:dyDescent="0.25">
      <c r="G55" s="148">
        <v>3</v>
      </c>
      <c r="H55" s="148"/>
      <c r="I55" s="148"/>
      <c r="J55" s="146" t="s">
        <v>137</v>
      </c>
      <c r="K55" s="146"/>
      <c r="L55" s="146"/>
      <c r="M55" s="146"/>
      <c r="N55" s="146"/>
    </row>
  </sheetData>
  <mergeCells count="101">
    <mergeCell ref="G10:I10"/>
    <mergeCell ref="G11:I11"/>
    <mergeCell ref="G12:I12"/>
    <mergeCell ref="G13:I13"/>
    <mergeCell ref="G14:I14"/>
    <mergeCell ref="G15:I15"/>
    <mergeCell ref="F2:O2"/>
    <mergeCell ref="G8:I8"/>
    <mergeCell ref="G7:I7"/>
    <mergeCell ref="G9:I9"/>
    <mergeCell ref="G22:I22"/>
    <mergeCell ref="G23:I23"/>
    <mergeCell ref="G24:I24"/>
    <mergeCell ref="G25:I25"/>
    <mergeCell ref="G26:I26"/>
    <mergeCell ref="G27:I27"/>
    <mergeCell ref="G16:I16"/>
    <mergeCell ref="G17:I17"/>
    <mergeCell ref="G18:I18"/>
    <mergeCell ref="G19:I19"/>
    <mergeCell ref="G20:I20"/>
    <mergeCell ref="G21:I21"/>
    <mergeCell ref="G36:I36"/>
    <mergeCell ref="G37:I37"/>
    <mergeCell ref="G38:I38"/>
    <mergeCell ref="G39:I39"/>
    <mergeCell ref="G28:I28"/>
    <mergeCell ref="G29:I29"/>
    <mergeCell ref="G30:I30"/>
    <mergeCell ref="G31:I31"/>
    <mergeCell ref="G32:I32"/>
    <mergeCell ref="G33:I33"/>
    <mergeCell ref="G52:I52"/>
    <mergeCell ref="G53:I53"/>
    <mergeCell ref="G54:I54"/>
    <mergeCell ref="G55:I55"/>
    <mergeCell ref="J7:N7"/>
    <mergeCell ref="J8:N8"/>
    <mergeCell ref="J9:N9"/>
    <mergeCell ref="J10:N10"/>
    <mergeCell ref="J11:N11"/>
    <mergeCell ref="J12:N12"/>
    <mergeCell ref="G46:I46"/>
    <mergeCell ref="G47:I47"/>
    <mergeCell ref="G48:I48"/>
    <mergeCell ref="G49:I49"/>
    <mergeCell ref="G50:I50"/>
    <mergeCell ref="G51:I51"/>
    <mergeCell ref="G40:I40"/>
    <mergeCell ref="G41:I41"/>
    <mergeCell ref="G42:I42"/>
    <mergeCell ref="G43:I43"/>
    <mergeCell ref="G44:I44"/>
    <mergeCell ref="G45:I45"/>
    <mergeCell ref="G34:I34"/>
    <mergeCell ref="G35:I35"/>
    <mergeCell ref="J19:N19"/>
    <mergeCell ref="J20:N20"/>
    <mergeCell ref="J21:N21"/>
    <mergeCell ref="J22:N22"/>
    <mergeCell ref="J23:N23"/>
    <mergeCell ref="J24:N24"/>
    <mergeCell ref="J13:N13"/>
    <mergeCell ref="J14:N14"/>
    <mergeCell ref="J15:N15"/>
    <mergeCell ref="J16:N16"/>
    <mergeCell ref="J17:N17"/>
    <mergeCell ref="J18:N18"/>
    <mergeCell ref="J34:N34"/>
    <mergeCell ref="J35:N35"/>
    <mergeCell ref="J36:N36"/>
    <mergeCell ref="J25:N25"/>
    <mergeCell ref="J26:N26"/>
    <mergeCell ref="J27:N27"/>
    <mergeCell ref="J28:N28"/>
    <mergeCell ref="J29:N29"/>
    <mergeCell ref="J30:N30"/>
    <mergeCell ref="J55:N55"/>
    <mergeCell ref="G6:I6"/>
    <mergeCell ref="J6:N6"/>
    <mergeCell ref="J49:N49"/>
    <mergeCell ref="J50:N50"/>
    <mergeCell ref="J51:N51"/>
    <mergeCell ref="J52:N52"/>
    <mergeCell ref="J53:N53"/>
    <mergeCell ref="J54:N54"/>
    <mergeCell ref="J43:N43"/>
    <mergeCell ref="J44:N44"/>
    <mergeCell ref="J45:N45"/>
    <mergeCell ref="J46:N46"/>
    <mergeCell ref="J47:N47"/>
    <mergeCell ref="J48:N48"/>
    <mergeCell ref="J37:N37"/>
    <mergeCell ref="J38:N38"/>
    <mergeCell ref="J39:N39"/>
    <mergeCell ref="J40:N40"/>
    <mergeCell ref="J41:N41"/>
    <mergeCell ref="J42:N42"/>
    <mergeCell ref="J31:N31"/>
    <mergeCell ref="J32:N32"/>
    <mergeCell ref="J33:N33"/>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34</vt:i4>
      </vt:variant>
    </vt:vector>
  </HeadingPairs>
  <TitlesOfParts>
    <vt:vector size="34" baseType="lpstr">
      <vt:lpstr>Capa</vt:lpstr>
      <vt:lpstr>% CDI</vt:lpstr>
      <vt:lpstr>API (Suitability)</vt:lpstr>
      <vt:lpstr>Cálculo - Corretora</vt:lpstr>
      <vt:lpstr>Cálculo de Taxas</vt:lpstr>
      <vt:lpstr>Cálculos Financeiros</vt:lpstr>
      <vt:lpstr>Carteira dois Clicks</vt:lpstr>
      <vt:lpstr>Classificação Anbima</vt:lpstr>
      <vt:lpstr>Códigos STVM</vt:lpstr>
      <vt:lpstr>Come Cotas x VGBL</vt:lpstr>
      <vt:lpstr>Custódia - Tesouro</vt:lpstr>
      <vt:lpstr>Datas - IR</vt:lpstr>
      <vt:lpstr>Divisão de Carteira</vt:lpstr>
      <vt:lpstr>FGC</vt:lpstr>
      <vt:lpstr>IOF</vt:lpstr>
      <vt:lpstr>IR no Rendimento</vt:lpstr>
      <vt:lpstr>Ligações</vt:lpstr>
      <vt:lpstr>Migração de Fundos</vt:lpstr>
      <vt:lpstr>Notícias</vt:lpstr>
      <vt:lpstr>Operações Matemáticas</vt:lpstr>
      <vt:lpstr>PJ</vt:lpstr>
      <vt:lpstr>Porcentagem</vt:lpstr>
      <vt:lpstr>Pós x Pré Fixados</vt:lpstr>
      <vt:lpstr>Proporção - VGBL</vt:lpstr>
      <vt:lpstr>PU</vt:lpstr>
      <vt:lpstr>Ratings</vt:lpstr>
      <vt:lpstr>Renda Vitalícia</vt:lpstr>
      <vt:lpstr>S&amp;P 500</vt:lpstr>
      <vt:lpstr>Sharpe da Carteira</vt:lpstr>
      <vt:lpstr>Simulação - Yield</vt:lpstr>
      <vt:lpstr>STVM</vt:lpstr>
      <vt:lpstr>Tabela de IR</vt:lpstr>
      <vt:lpstr>Taxa de ADM</vt:lpstr>
      <vt:lpstr>Tipos de Fundos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2019-05-02T00:10:16Z</dcterms:modified>
</cp:coreProperties>
</file>