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BC1CD03-4EDE-46FF-87A3-C328D6B85F4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apa" sheetId="10" r:id="rId1"/>
    <sheet name="Bloomberg" sheetId="22" r:id="rId2"/>
    <sheet name="Cálculo de Taxas" sheetId="38" r:id="rId3"/>
    <sheet name="Contato de Clientes" sheetId="20" r:id="rId4"/>
    <sheet name="Conversor de Paridade (A)" sheetId="7" r:id="rId5"/>
    <sheet name="Conversor de Paridade (B)" sheetId="6" r:id="rId6"/>
    <sheet name="Datas - IR" sheetId="40" r:id="rId7"/>
    <sheet name="Diferença de Taxa" sheetId="30" r:id="rId8"/>
    <sheet name="Dolarizado" sheetId="29" r:id="rId9"/>
    <sheet name="Floating" sheetId="23" r:id="rId10"/>
    <sheet name="Lucro na Operação" sheetId="31" r:id="rId11"/>
    <sheet name="Moedas" sheetId="12" r:id="rId12"/>
    <sheet name="Notícias" sheetId="37" r:id="rId13"/>
    <sheet name="Operações Matemáticas" sheetId="36" r:id="rId14"/>
    <sheet name="Países Bloqueados" sheetId="18" r:id="rId15"/>
    <sheet name="Porcentagem" sheetId="41" r:id="rId16"/>
    <sheet name="Plan2" sheetId="2" state="hidden" r:id="rId17"/>
    <sheet name="Plan3" sheetId="3" state="hidden" r:id="rId18"/>
    <sheet name="Simulador de CDI (+)" sheetId="8" r:id="rId19"/>
    <sheet name="Simulador de CDI (-)" sheetId="9" r:id="rId20"/>
    <sheet name="Spreads" sheetId="26" r:id="rId21"/>
    <sheet name="Taxa Média" sheetId="33" r:id="rId22"/>
    <sheet name="Taxas Convertidas" sheetId="35" r:id="rId23"/>
    <sheet name="Trava" sheetId="32" r:id="rId24"/>
  </sheets>
  <definedNames>
    <definedName name="_xlnm._FilterDatabase" localSheetId="1" hidden="1">Bloomberg!$B$6:$R$6</definedName>
    <definedName name="_xlnm._FilterDatabase" localSheetId="3" hidden="1">'Contato de Clientes'!$B$6:$T$6</definedName>
    <definedName name="_xlnm._FilterDatabase" localSheetId="4" hidden="1">'Conversor de Paridade (A)'!$D$8:$N$8</definedName>
    <definedName name="_xlnm._FilterDatabase" localSheetId="14" hidden="1">'Países Bloqueados'!$F$5:$J$5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33" l="1"/>
  <c r="L14" i="8"/>
  <c r="L12" i="8"/>
  <c r="L11" i="8"/>
  <c r="L10" i="8"/>
  <c r="I14" i="8"/>
  <c r="M14" i="8" s="1"/>
  <c r="L14" i="9"/>
  <c r="L12" i="9"/>
  <c r="L11" i="9"/>
  <c r="L10" i="9"/>
  <c r="I14" i="9"/>
  <c r="M14" i="9" s="1"/>
  <c r="I10" i="9"/>
  <c r="G21" i="41"/>
  <c r="G15" i="41"/>
  <c r="G9" i="41"/>
  <c r="H15" i="40"/>
  <c r="O19" i="38"/>
  <c r="H19" i="38"/>
  <c r="M15" i="38"/>
  <c r="G15" i="38"/>
  <c r="M11" i="38"/>
  <c r="G11" i="38"/>
  <c r="M7" i="38"/>
  <c r="G7" i="38"/>
  <c r="M19" i="36"/>
  <c r="H19" i="36"/>
  <c r="C19" i="36"/>
  <c r="M15" i="36"/>
  <c r="H15" i="36"/>
  <c r="C15" i="36"/>
  <c r="M11" i="36"/>
  <c r="H11" i="36"/>
  <c r="C11" i="36"/>
  <c r="M7" i="36"/>
  <c r="H7" i="36"/>
  <c r="C7" i="36"/>
  <c r="K15" i="35" l="1"/>
  <c r="K8" i="35"/>
  <c r="J18" i="33" l="1"/>
  <c r="M22" i="32" l="1"/>
  <c r="O34" i="32" l="1"/>
  <c r="G3" i="32"/>
  <c r="O11" i="32"/>
  <c r="M21" i="32" s="1"/>
  <c r="M25" i="32" s="1"/>
  <c r="M28" i="32" s="1"/>
  <c r="D2" i="32"/>
  <c r="G2" i="32" s="1"/>
  <c r="M31" i="32" l="1"/>
  <c r="M34" i="32"/>
  <c r="M37" i="32"/>
  <c r="G4" i="32"/>
  <c r="G5" i="32" s="1"/>
  <c r="H6" i="32" l="1"/>
  <c r="G6" i="32"/>
  <c r="G7" i="32" s="1"/>
  <c r="E12" i="30" l="1"/>
  <c r="M12" i="30"/>
  <c r="N10" i="29" l="1"/>
  <c r="N11" i="29"/>
  <c r="N12" i="29"/>
  <c r="N9" i="29"/>
  <c r="N20" i="29"/>
  <c r="N21" i="29"/>
  <c r="N22" i="29"/>
  <c r="N23" i="29"/>
  <c r="N24" i="29"/>
  <c r="N25" i="29"/>
  <c r="N19" i="29"/>
  <c r="M14" i="30"/>
  <c r="E14" i="30"/>
  <c r="N28" i="29" l="1"/>
  <c r="L12" i="31"/>
  <c r="F12" i="31"/>
  <c r="I10" i="26" l="1"/>
  <c r="G10" i="26"/>
  <c r="H14" i="23" l="1"/>
  <c r="H13" i="23"/>
  <c r="H9" i="23"/>
  <c r="H15" i="23" l="1"/>
  <c r="E9" i="7"/>
  <c r="H10" i="7" l="1"/>
  <c r="H12" i="7"/>
  <c r="H11" i="7"/>
  <c r="H9" i="7"/>
  <c r="J9" i="6"/>
  <c r="D9" i="6"/>
  <c r="G13" i="6" s="1"/>
  <c r="K9" i="7"/>
  <c r="N12" i="7" s="1"/>
  <c r="M9" i="6" l="1"/>
  <c r="M16" i="6"/>
  <c r="N10" i="7"/>
  <c r="N11" i="7"/>
  <c r="N9" i="7"/>
  <c r="M10" i="6"/>
  <c r="M12" i="6"/>
  <c r="M14" i="6"/>
  <c r="M18" i="6"/>
  <c r="M11" i="6"/>
  <c r="M13" i="6"/>
  <c r="M15" i="6"/>
  <c r="M17" i="6"/>
  <c r="G10" i="6"/>
  <c r="G12" i="6"/>
  <c r="G14" i="6"/>
  <c r="G16" i="6"/>
  <c r="G18" i="6"/>
  <c r="G11" i="6"/>
  <c r="G15" i="6"/>
  <c r="G17" i="6"/>
  <c r="G9" i="6"/>
  <c r="I12" i="9"/>
  <c r="M12" i="9" s="1"/>
  <c r="I11" i="9"/>
  <c r="M11" i="9" s="1"/>
  <c r="M10" i="9"/>
  <c r="I12" i="8"/>
  <c r="M12" i="8" s="1"/>
  <c r="I11" i="8"/>
  <c r="M11" i="8" s="1"/>
  <c r="I10" i="8"/>
  <c r="M1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Banco Bradesco</author>
  </authors>
  <commentList>
    <comment ref="D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Multiplica!</t>
        </r>
      </text>
    </comment>
    <comment ref="G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Favor Inserir</t>
        </r>
      </text>
    </comment>
    <comment ref="M6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Favor Inserir</t>
        </r>
      </text>
    </comment>
    <comment ref="G8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Favor Inserir</t>
        </r>
      </text>
    </comment>
    <comment ref="M8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Favor Inserir</t>
        </r>
      </text>
    </comment>
    <comment ref="F9" authorId="1" shapeId="0" xr:uid="{00000000-0006-0000-0700-000006000000}">
      <text>
        <r>
          <rPr>
            <b/>
            <sz val="9"/>
            <color indexed="81"/>
            <rFont val="Tahoma"/>
            <charset val="1"/>
          </rPr>
          <t>Dólar da Nova Zelândia</t>
        </r>
      </text>
    </comment>
    <comment ref="L9" authorId="1" shapeId="0" xr:uid="{00000000-0006-0000-0700-000007000000}">
      <text>
        <r>
          <rPr>
            <b/>
            <sz val="9"/>
            <color indexed="81"/>
            <rFont val="Tahoma"/>
            <charset val="1"/>
          </rPr>
          <t>Dólar da Nova Zelândia</t>
        </r>
      </text>
    </comment>
    <comment ref="F10" authorId="1" shapeId="0" xr:uid="{00000000-0006-0000-0700-000008000000}">
      <text>
        <r>
          <rPr>
            <b/>
            <sz val="9"/>
            <color indexed="81"/>
            <rFont val="Tahoma"/>
            <charset val="1"/>
          </rPr>
          <t>Dólar Australiano</t>
        </r>
      </text>
    </comment>
    <comment ref="L10" authorId="1" shapeId="0" xr:uid="{00000000-0006-0000-0700-000009000000}">
      <text>
        <r>
          <rPr>
            <b/>
            <sz val="9"/>
            <color indexed="81"/>
            <rFont val="Tahoma"/>
            <charset val="1"/>
          </rPr>
          <t>Dólar Australiano</t>
        </r>
      </text>
    </comment>
    <comment ref="F11" authorId="1" shapeId="0" xr:uid="{00000000-0006-0000-0700-00000A000000}">
      <text>
        <r>
          <rPr>
            <b/>
            <sz val="9"/>
            <color indexed="81"/>
            <rFont val="Tahoma"/>
            <charset val="1"/>
          </rPr>
          <t>Libra</t>
        </r>
      </text>
    </comment>
    <comment ref="L11" authorId="1" shapeId="0" xr:uid="{00000000-0006-0000-0700-00000B000000}">
      <text>
        <r>
          <rPr>
            <b/>
            <sz val="9"/>
            <color indexed="81"/>
            <rFont val="Tahoma"/>
            <charset val="1"/>
          </rPr>
          <t>Libra</t>
        </r>
      </text>
    </comment>
    <comment ref="F12" authorId="1" shapeId="0" xr:uid="{00000000-0006-0000-0700-00000C000000}">
      <text>
        <r>
          <rPr>
            <b/>
            <sz val="9"/>
            <color indexed="81"/>
            <rFont val="Tahoma"/>
            <charset val="1"/>
          </rPr>
          <t>Euro</t>
        </r>
      </text>
    </comment>
    <comment ref="L12" authorId="1" shapeId="0" xr:uid="{00000000-0006-0000-0700-00000D000000}">
      <text>
        <r>
          <rPr>
            <b/>
            <sz val="9"/>
            <color indexed="81"/>
            <rFont val="Tahoma"/>
            <charset val="1"/>
          </rPr>
          <t>Euro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Banco Bradesco</author>
  </authors>
  <commentList>
    <comment ref="C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Divide!</t>
        </r>
      </text>
    </comment>
    <comment ref="F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Favor Inserir</t>
        </r>
      </text>
    </comment>
    <comment ref="L6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Favor Inserir</t>
        </r>
      </text>
    </comment>
    <comment ref="F8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Favor Inserir</t>
        </r>
      </text>
    </comment>
    <comment ref="L8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Favor Inserir</t>
        </r>
      </text>
    </comment>
    <comment ref="E9" authorId="1" shapeId="0" xr:uid="{00000000-0006-0000-0800-000006000000}">
      <text>
        <r>
          <rPr>
            <b/>
            <sz val="9"/>
            <color indexed="81"/>
            <rFont val="Tahoma"/>
            <charset val="1"/>
          </rPr>
          <t>Yen</t>
        </r>
      </text>
    </comment>
    <comment ref="K9" authorId="1" shapeId="0" xr:uid="{00000000-0006-0000-0800-000007000000}">
      <text>
        <r>
          <rPr>
            <b/>
            <sz val="9"/>
            <color indexed="81"/>
            <rFont val="Tahoma"/>
            <charset val="1"/>
          </rPr>
          <t>Yen</t>
        </r>
      </text>
    </comment>
    <comment ref="E10" authorId="1" shapeId="0" xr:uid="{00000000-0006-0000-0800-000008000000}">
      <text>
        <r>
          <rPr>
            <b/>
            <sz val="9"/>
            <color indexed="81"/>
            <rFont val="Tahoma"/>
            <charset val="1"/>
          </rPr>
          <t>Franco Suiço (SWF)</t>
        </r>
      </text>
    </comment>
    <comment ref="K10" authorId="1" shapeId="0" xr:uid="{00000000-0006-0000-0800-000009000000}">
      <text>
        <r>
          <rPr>
            <b/>
            <sz val="9"/>
            <color indexed="81"/>
            <rFont val="Tahoma"/>
            <charset val="1"/>
          </rPr>
          <t>Franco Suiço (SWF)</t>
        </r>
      </text>
    </comment>
    <comment ref="E11" authorId="1" shapeId="0" xr:uid="{00000000-0006-0000-0800-00000A000000}">
      <text>
        <r>
          <rPr>
            <b/>
            <sz val="9"/>
            <color indexed="81"/>
            <rFont val="Tahoma"/>
            <charset val="1"/>
          </rPr>
          <t>Coroa Dinamarquesa (DKR)</t>
        </r>
      </text>
    </comment>
    <comment ref="K11" authorId="1" shapeId="0" xr:uid="{00000000-0006-0000-0800-00000B000000}">
      <text>
        <r>
          <rPr>
            <b/>
            <sz val="9"/>
            <color indexed="81"/>
            <rFont val="Tahoma"/>
            <charset val="1"/>
          </rPr>
          <t>Coroa Dinamarquesa (DKR)</t>
        </r>
      </text>
    </comment>
    <comment ref="E12" authorId="1" shapeId="0" xr:uid="{00000000-0006-0000-0800-00000C000000}">
      <text>
        <r>
          <rPr>
            <b/>
            <sz val="9"/>
            <color indexed="81"/>
            <rFont val="Tahoma"/>
            <charset val="1"/>
          </rPr>
          <t>Dólar Canadense (CAN)</t>
        </r>
      </text>
    </comment>
    <comment ref="K12" authorId="1" shapeId="0" xr:uid="{00000000-0006-0000-0800-00000D000000}">
      <text>
        <r>
          <rPr>
            <b/>
            <sz val="9"/>
            <color indexed="81"/>
            <rFont val="Tahoma"/>
            <charset val="1"/>
          </rPr>
          <t>Dólar Canadense (CAN)</t>
        </r>
      </text>
    </comment>
    <comment ref="E13" authorId="1" shapeId="0" xr:uid="{00000000-0006-0000-0800-00000E000000}">
      <text>
        <r>
          <rPr>
            <b/>
            <sz val="9"/>
            <color indexed="81"/>
            <rFont val="Tahoma"/>
            <charset val="1"/>
          </rPr>
          <t>Coroa Sueca (SKR)</t>
        </r>
      </text>
    </comment>
    <comment ref="K13" authorId="1" shapeId="0" xr:uid="{00000000-0006-0000-0800-00000F000000}">
      <text>
        <r>
          <rPr>
            <b/>
            <sz val="9"/>
            <color indexed="81"/>
            <rFont val="Tahoma"/>
            <charset val="1"/>
          </rPr>
          <t>Coroa Sueca (SKR)</t>
        </r>
      </text>
    </comment>
    <comment ref="E14" authorId="1" shapeId="0" xr:uid="{00000000-0006-0000-0800-000010000000}">
      <text>
        <r>
          <rPr>
            <b/>
            <sz val="9"/>
            <color indexed="81"/>
            <rFont val="Tahoma"/>
            <charset val="1"/>
          </rPr>
          <t>Coroa Norueguesa (NGK)</t>
        </r>
      </text>
    </comment>
    <comment ref="K14" authorId="1" shapeId="0" xr:uid="{00000000-0006-0000-0800-000011000000}">
      <text>
        <r>
          <rPr>
            <b/>
            <sz val="9"/>
            <color indexed="81"/>
            <rFont val="Tahoma"/>
            <charset val="1"/>
          </rPr>
          <t>Coroa Norueguesa (NGK)</t>
        </r>
      </text>
    </comment>
    <comment ref="E15" authorId="1" shapeId="0" xr:uid="{00000000-0006-0000-0800-000012000000}">
      <text>
        <r>
          <rPr>
            <b/>
            <sz val="9"/>
            <color indexed="81"/>
            <rFont val="Tahoma"/>
            <charset val="1"/>
          </rPr>
          <t>Iuan Renmimbi da China (CNY)</t>
        </r>
      </text>
    </comment>
    <comment ref="K15" authorId="1" shapeId="0" xr:uid="{00000000-0006-0000-0800-000013000000}">
      <text>
        <r>
          <rPr>
            <b/>
            <sz val="9"/>
            <color indexed="81"/>
            <rFont val="Tahoma"/>
            <charset val="1"/>
          </rPr>
          <t>Iuan Renmimbi da China (CNY)</t>
        </r>
      </text>
    </comment>
    <comment ref="E16" authorId="1" shapeId="0" xr:uid="{00000000-0006-0000-0800-000014000000}">
      <text>
        <r>
          <rPr>
            <b/>
            <sz val="9"/>
            <color indexed="81"/>
            <rFont val="Tahoma"/>
            <charset val="1"/>
          </rPr>
          <t>Peso do México</t>
        </r>
      </text>
    </comment>
    <comment ref="K16" authorId="1" shapeId="0" xr:uid="{00000000-0006-0000-0800-000015000000}">
      <text>
        <r>
          <rPr>
            <b/>
            <sz val="9"/>
            <color indexed="81"/>
            <rFont val="Tahoma"/>
            <charset val="1"/>
          </rPr>
          <t>Peso do México</t>
        </r>
      </text>
    </comment>
    <comment ref="E17" authorId="1" shapeId="0" xr:uid="{00000000-0006-0000-0800-000016000000}">
      <text>
        <r>
          <rPr>
            <b/>
            <sz val="9"/>
            <color indexed="81"/>
            <rFont val="Tahoma"/>
            <charset val="1"/>
          </rPr>
          <t>Lira Turca</t>
        </r>
      </text>
    </comment>
    <comment ref="K17" authorId="1" shapeId="0" xr:uid="{00000000-0006-0000-0800-000017000000}">
      <text>
        <r>
          <rPr>
            <b/>
            <sz val="9"/>
            <color indexed="81"/>
            <rFont val="Tahoma"/>
            <charset val="1"/>
          </rPr>
          <t>Lira Turca</t>
        </r>
      </text>
    </comment>
    <comment ref="E18" authorId="1" shapeId="0" xr:uid="{00000000-0006-0000-0800-000018000000}">
      <text>
        <r>
          <rPr>
            <b/>
            <sz val="9"/>
            <color indexed="81"/>
            <rFont val="Tahoma"/>
            <charset val="1"/>
          </rPr>
          <t>Dólar de Hong Kong</t>
        </r>
      </text>
    </comment>
    <comment ref="K18" authorId="1" shapeId="0" xr:uid="{00000000-0006-0000-0800-000019000000}">
      <text>
        <r>
          <rPr>
            <b/>
            <sz val="9"/>
            <color indexed="81"/>
            <rFont val="Tahoma"/>
            <charset val="1"/>
          </rPr>
          <t>Dólar de Hong Kong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Banco Bradesco</author>
  </authors>
  <commentList>
    <comment ref="G9" authorId="0" shapeId="0" xr:uid="{00000000-0006-0000-0B00-000001000000}">
      <text>
        <r>
          <rPr>
            <b/>
            <sz val="9"/>
            <color indexed="81"/>
            <rFont val="Tahoma"/>
            <charset val="1"/>
          </rPr>
          <t>Dólar Australiano</t>
        </r>
      </text>
    </comment>
    <comment ref="G10" authorId="0" shapeId="0" xr:uid="{00000000-0006-0000-0B00-000002000000}">
      <text>
        <r>
          <rPr>
            <b/>
            <sz val="9"/>
            <color indexed="81"/>
            <rFont val="Tahoma"/>
            <charset val="1"/>
          </rPr>
          <t>Euro</t>
        </r>
      </text>
    </comment>
    <comment ref="G11" authorId="0" shapeId="0" xr:uid="{00000000-0006-0000-0B00-000003000000}">
      <text>
        <r>
          <rPr>
            <b/>
            <sz val="9"/>
            <color indexed="81"/>
            <rFont val="Tahoma"/>
            <charset val="1"/>
          </rPr>
          <t>Libra</t>
        </r>
      </text>
    </comment>
    <comment ref="G12" authorId="0" shapeId="0" xr:uid="{00000000-0006-0000-0B00-000004000000}">
      <text>
        <r>
          <rPr>
            <b/>
            <sz val="9"/>
            <color indexed="81"/>
            <rFont val="Tahoma"/>
            <charset val="1"/>
          </rPr>
          <t>Dólar da Nova Zelândia</t>
        </r>
      </text>
    </comment>
    <comment ref="G19" authorId="0" shapeId="0" xr:uid="{00000000-0006-0000-0B00-000005000000}">
      <text>
        <r>
          <rPr>
            <b/>
            <sz val="9"/>
            <color indexed="81"/>
            <rFont val="Tahoma"/>
            <charset val="1"/>
          </rPr>
          <t>Dólar Canadense (CAD)</t>
        </r>
      </text>
    </comment>
    <comment ref="G20" authorId="0" shapeId="0" xr:uid="{00000000-0006-0000-0B00-000006000000}">
      <text>
        <r>
          <rPr>
            <b/>
            <sz val="9"/>
            <color indexed="81"/>
            <rFont val="Tahoma"/>
            <charset val="1"/>
          </rPr>
          <t>Iuan Renmimbi da China (CNH)</t>
        </r>
      </text>
    </comment>
    <comment ref="G21" authorId="0" shapeId="0" xr:uid="{00000000-0006-0000-0B00-000007000000}">
      <text>
        <r>
          <rPr>
            <b/>
            <sz val="9"/>
            <color indexed="81"/>
            <rFont val="Tahoma"/>
            <charset val="1"/>
          </rPr>
          <t>Coroa Dinamarquesa (DKK)</t>
        </r>
      </text>
    </comment>
    <comment ref="G22" authorId="0" shapeId="0" xr:uid="{00000000-0006-0000-0B00-000008000000}">
      <text>
        <r>
          <rPr>
            <b/>
            <sz val="9"/>
            <color indexed="81"/>
            <rFont val="Tahoma"/>
            <charset val="1"/>
          </rPr>
          <t>Coroa Norueguesa (NOK)</t>
        </r>
      </text>
    </comment>
    <comment ref="G23" authorId="0" shapeId="0" xr:uid="{00000000-0006-0000-0B00-000009000000}">
      <text>
        <r>
          <rPr>
            <b/>
            <sz val="9"/>
            <color indexed="81"/>
            <rFont val="Tahoma"/>
            <charset val="1"/>
          </rPr>
          <t>Coroa Sueca (SEK)</t>
        </r>
      </text>
    </comment>
    <comment ref="G24" authorId="0" shapeId="0" xr:uid="{00000000-0006-0000-0B00-00000A000000}">
      <text>
        <r>
          <rPr>
            <b/>
            <sz val="9"/>
            <color indexed="81"/>
            <rFont val="Tahoma"/>
            <charset val="1"/>
          </rPr>
          <t>Franco Suiço (CHF)</t>
        </r>
      </text>
    </comment>
    <comment ref="G25" authorId="0" shapeId="0" xr:uid="{00000000-0006-0000-0B00-00000B000000}">
      <text>
        <r>
          <rPr>
            <b/>
            <sz val="9"/>
            <color indexed="81"/>
            <rFont val="Tahoma"/>
            <charset val="1"/>
          </rPr>
          <t>Moeda Japonesa (JPY)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Banco Bradesco</author>
  </authors>
  <commentList>
    <comment ref="H10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STG</t>
        </r>
      </text>
    </comment>
    <comment ref="H17" authorId="0" shapeId="0" xr:uid="{00000000-0006-0000-1500-000002000000}">
      <text>
        <r>
          <rPr>
            <sz val="9"/>
            <color indexed="81"/>
            <rFont val="Tahoma"/>
            <family val="2"/>
          </rPr>
          <t>YEN não tem Centavos!</t>
        </r>
      </text>
    </comment>
    <comment ref="K17" authorId="0" shapeId="0" xr:uid="{00000000-0006-0000-1500-000003000000}">
      <text>
        <r>
          <rPr>
            <sz val="9"/>
            <color indexed="81"/>
            <rFont val="Tahoma"/>
            <family val="2"/>
          </rPr>
          <t>YEN não tem centavos!</t>
        </r>
      </text>
    </comment>
    <comment ref="H18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SWF</t>
        </r>
      </text>
    </comment>
    <comment ref="H19" authorId="0" shapeId="0" xr:uid="{00000000-0006-0000-1500-000005000000}">
      <text>
        <r>
          <rPr>
            <b/>
            <sz val="9"/>
            <color indexed="81"/>
            <rFont val="Tahoma"/>
            <family val="2"/>
          </rPr>
          <t>DKR</t>
        </r>
      </text>
    </comment>
    <comment ref="H20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>CAN</t>
        </r>
      </text>
    </comment>
    <comment ref="H21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>SKR</t>
        </r>
      </text>
    </comment>
    <comment ref="H22" authorId="0" shapeId="0" xr:uid="{00000000-0006-0000-1500-000008000000}">
      <text>
        <r>
          <rPr>
            <b/>
            <sz val="9"/>
            <color indexed="81"/>
            <rFont val="Tahoma"/>
            <family val="2"/>
          </rPr>
          <t>NGK</t>
        </r>
      </text>
    </comment>
    <comment ref="H23" authorId="0" shapeId="0" xr:uid="{00000000-0006-0000-1500-000009000000}">
      <text>
        <r>
          <rPr>
            <b/>
            <sz val="9"/>
            <color indexed="81"/>
            <rFont val="Tahoma"/>
            <family val="2"/>
          </rPr>
          <t>CNY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Banco Bradesco</author>
  </authors>
  <commentList>
    <comment ref="F2" authorId="0" shapeId="0" xr:uid="{00000000-0006-0000-1600-000001000000}">
      <text>
        <r>
          <rPr>
            <sz val="9"/>
            <color indexed="81"/>
            <rFont val="Tahoma"/>
            <family val="2"/>
          </rPr>
          <t>O Office of Foreign Assets Control (OFAC) é o órgão do Departamento do Tesouro Americano responsável por administrar e exigir o cumprimento dos programas que impõem sanções econômicas, embargos e outras restrições a determinados países. 
Alguns programas são “abrangentes” bloqueando o governo e incluindo restrições ao comércio, enquanto outros são específicos, atingindo algumas entidades e indivíduos, os quais constam na lista Specially Designated Nationals and Blocked Persons ("SDN list").</t>
        </r>
      </text>
    </comment>
  </commentList>
</comments>
</file>

<file path=xl/sharedStrings.xml><?xml version="1.0" encoding="utf-8"?>
<sst xmlns="http://schemas.openxmlformats.org/spreadsheetml/2006/main" count="533" uniqueCount="345">
  <si>
    <t>Moeda</t>
  </si>
  <si>
    <t>Paridade</t>
  </si>
  <si>
    <t>Prazo</t>
  </si>
  <si>
    <t>Valor</t>
  </si>
  <si>
    <t>Taxa:</t>
  </si>
  <si>
    <t>ENTRADA</t>
  </si>
  <si>
    <t>SAÍDA</t>
  </si>
  <si>
    <t>Dólar</t>
  </si>
  <si>
    <t>M.E.</t>
  </si>
  <si>
    <t>Resultado</t>
  </si>
  <si>
    <t>USD</t>
  </si>
  <si>
    <t>JPY</t>
  </si>
  <si>
    <t>CHF</t>
  </si>
  <si>
    <t>DKK</t>
  </si>
  <si>
    <t>CAD</t>
  </si>
  <si>
    <t>SEK</t>
  </si>
  <si>
    <t>NOK</t>
  </si>
  <si>
    <t>CNH</t>
  </si>
  <si>
    <t>MXN</t>
  </si>
  <si>
    <t>TRY</t>
  </si>
  <si>
    <t>HKD</t>
  </si>
  <si>
    <t>Legenda</t>
  </si>
  <si>
    <t>Código</t>
  </si>
  <si>
    <t>Yen</t>
  </si>
  <si>
    <t>Franco Suíço</t>
  </si>
  <si>
    <t>Coroa Dinamarquesa</t>
  </si>
  <si>
    <t>Dólar Canadense</t>
  </si>
  <si>
    <t>Coroa Sueca</t>
  </si>
  <si>
    <t>Coroa Norueguesa</t>
  </si>
  <si>
    <t>Remimbi (Moeda Chinesa)</t>
  </si>
  <si>
    <t>Peso Mexicano</t>
  </si>
  <si>
    <t>Lira Turca</t>
  </si>
  <si>
    <t>Dólar de Hong Kong</t>
  </si>
  <si>
    <t>NZD</t>
  </si>
  <si>
    <t>AUD</t>
  </si>
  <si>
    <t>GBP</t>
  </si>
  <si>
    <t>EUR</t>
  </si>
  <si>
    <t>Dólar Neoelandês</t>
  </si>
  <si>
    <t>Dólar Australiano</t>
  </si>
  <si>
    <t>Libra Esterlina</t>
  </si>
  <si>
    <t>Euro</t>
  </si>
  <si>
    <t>Referência</t>
  </si>
  <si>
    <t>Conversão (+)</t>
  </si>
  <si>
    <t>CDI</t>
  </si>
  <si>
    <t>D</t>
  </si>
  <si>
    <t>Conversão (-)</t>
  </si>
  <si>
    <r>
      <t xml:space="preserve">Desenvolvido por </t>
    </r>
    <r>
      <rPr>
        <b/>
        <i/>
        <sz val="11"/>
        <color theme="1"/>
        <rFont val="Calibri"/>
        <family val="2"/>
        <scheme val="minor"/>
      </rPr>
      <t>Harion Camargo</t>
    </r>
  </si>
  <si>
    <t>Conversor de Paridade (A)</t>
  </si>
  <si>
    <t>Conversor de Paridade (B)</t>
  </si>
  <si>
    <t>TIPO A</t>
  </si>
  <si>
    <t>TIPO B</t>
  </si>
  <si>
    <t>Moedas</t>
  </si>
  <si>
    <t>Nome</t>
  </si>
  <si>
    <t>Coréia do Norte</t>
  </si>
  <si>
    <t>Irã</t>
  </si>
  <si>
    <t>Mianmar (Birmânia)</t>
  </si>
  <si>
    <t>Síria</t>
  </si>
  <si>
    <t>Sudão</t>
  </si>
  <si>
    <t>Bielorrússia</t>
  </si>
  <si>
    <t>Costa do Marfim</t>
  </si>
  <si>
    <t>Venezuela</t>
  </si>
  <si>
    <t>Zimbábue</t>
  </si>
  <si>
    <t>Países ou Territórios bloqueados pelo OFAC</t>
  </si>
  <si>
    <t>Balcãs (Albânia, Bósnia e Herzegovina, Macedónia, Montenegro, Sérvia e Kosovo)</t>
  </si>
  <si>
    <t>​Criméia (Região da Ucrânia)</t>
  </si>
  <si>
    <t>​Cuba</t>
  </si>
  <si>
    <t>​República Centro Africana</t>
  </si>
  <si>
    <t>​Iémen</t>
  </si>
  <si>
    <t>​Iraque</t>
  </si>
  <si>
    <t>​Líbano</t>
  </si>
  <si>
    <t>​Libéria</t>
  </si>
  <si>
    <t>​Líbia</t>
  </si>
  <si>
    <t>​República Democrática do Congo</t>
  </si>
  <si>
    <t>​​Somália</t>
  </si>
  <si>
    <t>​Sudão do Sul</t>
  </si>
  <si>
    <t>​Ucrânia/Rússia</t>
  </si>
  <si>
    <t>Nação</t>
  </si>
  <si>
    <t>Países Bloqueados</t>
  </si>
  <si>
    <t>Menu</t>
  </si>
  <si>
    <t>ADIÇÃO</t>
  </si>
  <si>
    <t>Sigla</t>
  </si>
  <si>
    <t>Remimbi (Moeda Chinesa / Yuan)</t>
  </si>
  <si>
    <t>Cliente</t>
  </si>
  <si>
    <t>Telefone</t>
  </si>
  <si>
    <t>Bloomberg</t>
  </si>
  <si>
    <t>Funções</t>
  </si>
  <si>
    <t>Descrição</t>
  </si>
  <si>
    <t>BU</t>
  </si>
  <si>
    <t>Bloomberg University</t>
  </si>
  <si>
    <t>Apresenta os cursos disponíveis pela Bloomberg, no Mundo Inteiro</t>
  </si>
  <si>
    <t>ECFC</t>
  </si>
  <si>
    <t>Previsões Econômicas</t>
  </si>
  <si>
    <t>Apresenta as principais projeções econômicas</t>
  </si>
  <si>
    <t>ECMX</t>
  </si>
  <si>
    <t>Economia Global</t>
  </si>
  <si>
    <t>Apresenta as principais notícias da Economia Global</t>
  </si>
  <si>
    <t>ECO</t>
  </si>
  <si>
    <t>Calendários Econômicos</t>
  </si>
  <si>
    <t>Apresenta as principais datas e eventos ao redor do mundo</t>
  </si>
  <si>
    <t>FXIP</t>
  </si>
  <si>
    <t>Portal - Informações de Câmbio</t>
  </si>
  <si>
    <t>Apresenta as principais informações relacionadas ao Câmbio</t>
  </si>
  <si>
    <t>HELP</t>
  </si>
  <si>
    <t>Ajuda</t>
  </si>
  <si>
    <t>Ensina a Usar a Bloomberg (Com Passo a Passo)</t>
  </si>
  <si>
    <t>TOP</t>
  </si>
  <si>
    <t>Notícias Top</t>
  </si>
  <si>
    <t>Apresenta as principais notícias do país</t>
  </si>
  <si>
    <t>TOP WW</t>
  </si>
  <si>
    <t>Top World Wild News</t>
  </si>
  <si>
    <t>Apresenta as principais notícias do Mundo</t>
  </si>
  <si>
    <t>WEI</t>
  </si>
  <si>
    <t>Índices Globais de Ações</t>
  </si>
  <si>
    <t>Apresenta os principais índices de ações</t>
  </si>
  <si>
    <t>Botão</t>
  </si>
  <si>
    <t>F1: Help</t>
  </si>
  <si>
    <t>Abre a janela de Help e Ajuda</t>
  </si>
  <si>
    <t>Help 2 X</t>
  </si>
  <si>
    <t>Entra em Contato com o Help Desk (Suporte) para questionamentos (24h por dia)</t>
  </si>
  <si>
    <t>Enter &lt;Go&gt;</t>
  </si>
  <si>
    <t>Pesquisa (Dar Enter)</t>
  </si>
  <si>
    <t>End Back</t>
  </si>
  <si>
    <t>Retorna para a tela anterior</t>
  </si>
  <si>
    <t>Panel</t>
  </si>
  <si>
    <t>Alterna as telas da Bloomberg</t>
  </si>
  <si>
    <t>Alt + K</t>
  </si>
  <si>
    <t>Visualiza o teclado Bloomberg (Apert K para sair)</t>
  </si>
  <si>
    <t>Botões</t>
  </si>
  <si>
    <t>Floating</t>
  </si>
  <si>
    <t>Cálculo na HP - 12C</t>
  </si>
  <si>
    <t>Deságio</t>
  </si>
  <si>
    <t>Enter</t>
  </si>
  <si>
    <t>Custo</t>
  </si>
  <si>
    <t>Spread</t>
  </si>
  <si>
    <t>(Prazo - Dias de Float)</t>
  </si>
  <si>
    <t>(/)</t>
  </si>
  <si>
    <t>(x)</t>
  </si>
  <si>
    <t>=</t>
  </si>
  <si>
    <t>Deságio+Float</t>
  </si>
  <si>
    <t>(-)</t>
  </si>
  <si>
    <t>Spread+Float</t>
  </si>
  <si>
    <t>Dias - Float</t>
  </si>
  <si>
    <t>SMNR</t>
  </si>
  <si>
    <t>Seminários e Eventos Bloomberg</t>
  </si>
  <si>
    <t>ALRT</t>
  </si>
  <si>
    <t>Gerenciador de Alerta</t>
  </si>
  <si>
    <t>BLP</t>
  </si>
  <si>
    <t>Launchpad da Bloomberg</t>
  </si>
  <si>
    <t>Gerencia o layout/lauchpad (ou widgets) das suas telas</t>
  </si>
  <si>
    <t>Como o nome sugere, gerencia os alertas e avisos, por exemplo: receber a PTAX do dia</t>
  </si>
  <si>
    <t>IB</t>
  </si>
  <si>
    <t>Instant Bloomberg</t>
  </si>
  <si>
    <t>Abre um Chate, como se fosse um MSN para conversar com algum outro usuário</t>
  </si>
  <si>
    <t>SECF</t>
  </si>
  <si>
    <t>Security Finder</t>
  </si>
  <si>
    <t>Busca um ativo em específico</t>
  </si>
  <si>
    <t>NZPD</t>
  </si>
  <si>
    <t>New Settings</t>
  </si>
  <si>
    <t>Realiza configurações, de maneira geral, como: idioma, alertas, telas de notícias e manchetes</t>
  </si>
  <si>
    <t>MSG</t>
  </si>
  <si>
    <t>Mensagem</t>
  </si>
  <si>
    <t>Cordena as mensagem da Caixa (como se fosse um e-mail)</t>
  </si>
  <si>
    <t>DES</t>
  </si>
  <si>
    <t>Descrição do Ativo</t>
  </si>
  <si>
    <t>Traz detalhes e informações do ativo escolhido</t>
  </si>
  <si>
    <t>GP</t>
  </si>
  <si>
    <t>Gráfico de Linha</t>
  </si>
  <si>
    <t>Expõe um gráfico de linha de determinado ativo selecionado</t>
  </si>
  <si>
    <t>HDS</t>
  </si>
  <si>
    <t>Propriedade do Ativo</t>
  </si>
  <si>
    <t>Fornece as propriedades e informações do ativo em questão</t>
  </si>
  <si>
    <t>BHL</t>
  </si>
  <si>
    <t>Bloomberg Help e Treinamento</t>
  </si>
  <si>
    <t>Ensina a Usar a Bloomberg, Apresenta os cursos disponíveis, e permite marcar treinamentos particulares</t>
  </si>
  <si>
    <t>JBN</t>
  </si>
  <si>
    <t>Notícias Japonesas Bloomberg</t>
  </si>
  <si>
    <t>Fornece as principais notícias ligadas ao Japão</t>
  </si>
  <si>
    <t>JOBS</t>
  </si>
  <si>
    <t>Centro de Emprego Bloomberg</t>
  </si>
  <si>
    <t>Exibe as vagas de emprego em aberto e suas respectivas descrições</t>
  </si>
  <si>
    <t>LR</t>
  </si>
  <si>
    <t>Taxas Libor</t>
  </si>
  <si>
    <t>Apresenta as variações da Libor e respectivas informações</t>
  </si>
  <si>
    <t>COUN</t>
  </si>
  <si>
    <t>Guia de Países</t>
  </si>
  <si>
    <t>Traz a tona as informações sobre aquele país</t>
  </si>
  <si>
    <t>KI</t>
  </si>
  <si>
    <t>Principais Insights</t>
  </si>
  <si>
    <t>Mostra as principais notícias do ativo e das companhias</t>
  </si>
  <si>
    <t>LLP</t>
  </si>
  <si>
    <t>Abrir o Launchpad</t>
  </si>
  <si>
    <t>Abre as telas do Launchpad</t>
  </si>
  <si>
    <t>ZQ</t>
  </si>
  <si>
    <t>Títulos Chineses</t>
  </si>
  <si>
    <t>Informações, Notícias e Números que se relacionam com os títulos da China</t>
  </si>
  <si>
    <t>CN</t>
  </si>
  <si>
    <t>Notícias da Empresa</t>
  </si>
  <si>
    <t>Te traz os dados sobre aquela companhia</t>
  </si>
  <si>
    <t>CDR</t>
  </si>
  <si>
    <t>Calendário</t>
  </si>
  <si>
    <t>Possibilita visualizar os calendários e datas de cada nação</t>
  </si>
  <si>
    <t>CRPR</t>
  </si>
  <si>
    <t>Perfil de Classificação de Crédito</t>
  </si>
  <si>
    <t>Permite visualizar o rating e o risco de cada companhia, segundo as maiores agências</t>
  </si>
  <si>
    <t>GCP</t>
  </si>
  <si>
    <t>Gráfico de Velas</t>
  </si>
  <si>
    <t>Expõe um gráfico de vela/candle de determinado ativo selecionado</t>
  </si>
  <si>
    <t>BQ</t>
  </si>
  <si>
    <t>Cotação Bloomberg</t>
  </si>
  <si>
    <t>Apresenta informações e valores do ativo selecionado</t>
  </si>
  <si>
    <t>NH</t>
  </si>
  <si>
    <t>Manchetes</t>
  </si>
  <si>
    <t>Deixa a disposição as notíciais mais importantes do mercado</t>
  </si>
  <si>
    <t>Data</t>
  </si>
  <si>
    <t>Simulador de CDI (-) [1/3]</t>
  </si>
  <si>
    <t>Simulador de CDI (+) [2/4]</t>
  </si>
  <si>
    <t>Spreads</t>
  </si>
  <si>
    <t>Spread (%)</t>
  </si>
  <si>
    <t>Entrada</t>
  </si>
  <si>
    <t>Saída</t>
  </si>
  <si>
    <t>Spread:</t>
  </si>
  <si>
    <t>Lucro da Operação</t>
  </si>
  <si>
    <t>Diferença de Taxa</t>
  </si>
  <si>
    <t>Dolarizado</t>
  </si>
  <si>
    <t>Lucro na Operação</t>
  </si>
  <si>
    <t>Taxa de Tela</t>
  </si>
  <si>
    <t>Taxa Informada</t>
  </si>
  <si>
    <t>Valor da Operação</t>
  </si>
  <si>
    <t>Lucro</t>
  </si>
  <si>
    <t>Taxa</t>
  </si>
  <si>
    <t>Máxima</t>
  </si>
  <si>
    <t>Diferença</t>
  </si>
  <si>
    <t>Mínima</t>
  </si>
  <si>
    <t>Valor da Dif.</t>
  </si>
  <si>
    <t>Valor em M.E.</t>
  </si>
  <si>
    <t>CAN</t>
  </si>
  <si>
    <t>MOEDA (A)</t>
  </si>
  <si>
    <t>MOEDA (B)</t>
  </si>
  <si>
    <t>SKR</t>
  </si>
  <si>
    <t>SWF</t>
  </si>
  <si>
    <t>YEN</t>
  </si>
  <si>
    <t>NGK</t>
  </si>
  <si>
    <t>DKR</t>
  </si>
  <si>
    <t>CNY</t>
  </si>
  <si>
    <t>TOTAL EM DÓLAR:</t>
  </si>
  <si>
    <t>SPREAD</t>
  </si>
  <si>
    <t>TOTAL</t>
  </si>
  <si>
    <t>DIAS</t>
  </si>
  <si>
    <t>Calculo</t>
  </si>
  <si>
    <t>CDI + SPREAD PELL</t>
  </si>
  <si>
    <t>Uteis</t>
  </si>
  <si>
    <t>%</t>
  </si>
  <si>
    <t>REMUNERAÇÃO LINHA</t>
  </si>
  <si>
    <t>Corridos</t>
  </si>
  <si>
    <t>Float - FINAL</t>
  </si>
  <si>
    <t>PRÊMIO/COMISSÃO</t>
  </si>
  <si>
    <t>Float na Cambial</t>
  </si>
  <si>
    <t>Fator</t>
  </si>
  <si>
    <t xml:space="preserve">Cambial </t>
  </si>
  <si>
    <t>R$ PTO</t>
  </si>
  <si>
    <t>CAMBIAL FINAL</t>
  </si>
  <si>
    <t>Moeda Futura  - CROSS</t>
  </si>
  <si>
    <t>CAMBIAL FINAL 2</t>
  </si>
  <si>
    <t>Passo a Passo HP</t>
  </si>
  <si>
    <t>1. CDI p/ dias uteis (rcl sobre SPOT de partida)</t>
  </si>
  <si>
    <t>2. Custo (enter)</t>
  </si>
  <si>
    <t>3. (360) ( /)</t>
  </si>
  <si>
    <t>4. Qtde de Dias de Linha (*) (% )( -)</t>
  </si>
  <si>
    <t>SPREAD DE PEL</t>
  </si>
  <si>
    <t>TOTAL (CDI + SPREAD)</t>
  </si>
  <si>
    <t>Úteis</t>
  </si>
  <si>
    <t>REMUNERAÇÃO - LINHA</t>
  </si>
  <si>
    <t>FLOAT FINAL</t>
  </si>
  <si>
    <t>FLOAT NA CAMBIAL</t>
  </si>
  <si>
    <t>CAMBIAL</t>
  </si>
  <si>
    <t>CAMBIAL - FINAL</t>
  </si>
  <si>
    <t>FATOR</t>
  </si>
  <si>
    <t>Moeda Futura - Cross</t>
  </si>
  <si>
    <t>CAMBIAL - FINAL (2)</t>
  </si>
  <si>
    <t>Taxa Média</t>
  </si>
  <si>
    <t>Trava</t>
  </si>
  <si>
    <t>Valor Total:</t>
  </si>
  <si>
    <t>Taxas Convertidas</t>
  </si>
  <si>
    <t>Taxas - Convertidas</t>
  </si>
  <si>
    <t>Valor em R$</t>
  </si>
  <si>
    <r>
      <t xml:space="preserve">De </t>
    </r>
    <r>
      <rPr>
        <b/>
        <sz val="15"/>
        <color rgb="FFFF0000"/>
        <rFont val="Calibri"/>
        <family val="2"/>
        <scheme val="minor"/>
      </rPr>
      <t>R$</t>
    </r>
    <r>
      <rPr>
        <sz val="15"/>
        <color theme="1"/>
        <rFont val="Calibri"/>
        <family val="2"/>
        <scheme val="minor"/>
      </rPr>
      <t xml:space="preserve"> para Moeda </t>
    </r>
    <r>
      <rPr>
        <b/>
        <sz val="15"/>
        <color rgb="FFFF0000"/>
        <rFont val="Calibri"/>
        <family val="2"/>
        <scheme val="minor"/>
      </rPr>
      <t>Estrangeira</t>
    </r>
  </si>
  <si>
    <r>
      <t>De</t>
    </r>
    <r>
      <rPr>
        <sz val="15"/>
        <color rgb="FFFF0000"/>
        <rFont val="Calibri"/>
        <family val="2"/>
        <scheme val="minor"/>
      </rPr>
      <t xml:space="preserve"> </t>
    </r>
    <r>
      <rPr>
        <b/>
        <sz val="15"/>
        <color rgb="FFFF0000"/>
        <rFont val="Calibri"/>
        <family val="2"/>
        <scheme val="minor"/>
      </rPr>
      <t>Moeda Estrangeira</t>
    </r>
    <r>
      <rPr>
        <sz val="15"/>
        <color theme="1"/>
        <rFont val="Calibri"/>
        <family val="2"/>
        <scheme val="minor"/>
      </rPr>
      <t xml:space="preserve"> para</t>
    </r>
    <r>
      <rPr>
        <b/>
        <sz val="15"/>
        <color theme="1"/>
        <rFont val="Calibri"/>
        <family val="2"/>
        <scheme val="minor"/>
      </rPr>
      <t xml:space="preserve"> </t>
    </r>
    <r>
      <rPr>
        <b/>
        <sz val="15"/>
        <color rgb="FFFF0000"/>
        <rFont val="Calibri"/>
        <family val="2"/>
        <scheme val="minor"/>
      </rPr>
      <t>R$</t>
    </r>
  </si>
  <si>
    <t>ABC</t>
  </si>
  <si>
    <t>XYZ</t>
  </si>
  <si>
    <r>
      <t xml:space="preserve">Planilha de Auxílio de </t>
    </r>
    <r>
      <rPr>
        <b/>
        <sz val="35"/>
        <color theme="1"/>
        <rFont val="Calibri"/>
        <family val="2"/>
        <scheme val="minor"/>
      </rPr>
      <t>Câmbio</t>
    </r>
  </si>
  <si>
    <t>Operações Matemáticas</t>
  </si>
  <si>
    <t>DIVISÃO</t>
  </si>
  <si>
    <t>MULTIPLICAÇÃO</t>
  </si>
  <si>
    <t>POTENCIAÇÃO</t>
  </si>
  <si>
    <t>dividido por</t>
  </si>
  <si>
    <t>vezes</t>
  </si>
  <si>
    <t>evelado por</t>
  </si>
  <si>
    <t>SUBTRAÇÃO</t>
  </si>
  <si>
    <t>PORCENTAGEM</t>
  </si>
  <si>
    <t>mais</t>
  </si>
  <si>
    <t>menos</t>
  </si>
  <si>
    <t>de</t>
  </si>
  <si>
    <t>LN</t>
  </si>
  <si>
    <t>RAIZ QUADRADA</t>
  </si>
  <si>
    <t>SUBTRAÇÃO DE PORCENTAGEM</t>
  </si>
  <si>
    <t>Raiz</t>
  </si>
  <si>
    <t>SOMA DE PORCENTAGEM</t>
  </si>
  <si>
    <t>VARIAÇÃO PERCENTUAL</t>
  </si>
  <si>
    <t>MÉDIA</t>
  </si>
  <si>
    <t>vai para</t>
  </si>
  <si>
    <t>Notícias</t>
  </si>
  <si>
    <t>Cálculo de Taxas</t>
  </si>
  <si>
    <t>Convertendo Taxa ao Mês para Taxa ao Ano</t>
  </si>
  <si>
    <t>Convertendo Taxa ao Ano para Taxa ao Mês</t>
  </si>
  <si>
    <t>Taxa ao Mês</t>
  </si>
  <si>
    <t>Taxa ao Ano</t>
  </si>
  <si>
    <t>Convertendo Taxa ao Mês para Taxa ao Dia</t>
  </si>
  <si>
    <t>Convertendo Taxa ao Ano para Taxa ao Dia</t>
  </si>
  <si>
    <t>Taxa ao Dia</t>
  </si>
  <si>
    <t>Convertendo Taxa ao Dia para Taxa ao Mês</t>
  </si>
  <si>
    <t>Convertendo Taxa ao Dia para Taxa ao Ano</t>
  </si>
  <si>
    <t>Taxa Conjunta (Taxa + Outra Taxa)</t>
  </si>
  <si>
    <t>Taxa Descontada de Outra Taxa (Taxa - Outra Taxa)</t>
  </si>
  <si>
    <t>Taxa A</t>
  </si>
  <si>
    <t>Taxa B</t>
  </si>
  <si>
    <t>Taxa C</t>
  </si>
  <si>
    <t>Taxa D</t>
  </si>
  <si>
    <t>Taxa FINAL</t>
  </si>
  <si>
    <t>Datas - IR</t>
  </si>
  <si>
    <t>Data Inicial</t>
  </si>
  <si>
    <t>Quantidade de Dias</t>
  </si>
  <si>
    <t>Porcentagem</t>
  </si>
  <si>
    <t>Quanto é...</t>
  </si>
  <si>
    <t>Quanto Representa...</t>
  </si>
  <si>
    <t>CPF/CNPJ</t>
  </si>
  <si>
    <r>
      <t xml:space="preserve">Dólar de </t>
    </r>
    <r>
      <rPr>
        <b/>
        <sz val="15"/>
        <color rgb="FFFF0000"/>
        <rFont val="Calibri"/>
        <family val="2"/>
        <scheme val="minor"/>
      </rPr>
      <t>Entrada</t>
    </r>
  </si>
  <si>
    <r>
      <t xml:space="preserve">Dólar de </t>
    </r>
    <r>
      <rPr>
        <b/>
        <sz val="15"/>
        <color rgb="FFFF0000"/>
        <rFont val="Calibri"/>
        <family val="2"/>
        <scheme val="minor"/>
      </rPr>
      <t>Saída</t>
    </r>
  </si>
  <si>
    <r>
      <t xml:space="preserve">Paridade - </t>
    </r>
    <r>
      <rPr>
        <b/>
        <sz val="15"/>
        <color rgb="FFFF0000"/>
        <rFont val="Calibri"/>
        <family val="2"/>
        <scheme val="minor"/>
      </rPr>
      <t>VENDA</t>
    </r>
  </si>
  <si>
    <r>
      <t xml:space="preserve">Paridade - </t>
    </r>
    <r>
      <rPr>
        <b/>
        <sz val="15"/>
        <color rgb="FFFF0000"/>
        <rFont val="Calibri"/>
        <family val="2"/>
        <scheme val="minor"/>
      </rPr>
      <t>COMPPRA</t>
    </r>
  </si>
  <si>
    <r>
      <t xml:space="preserve">Simulador </t>
    </r>
    <r>
      <rPr>
        <sz val="25"/>
        <color rgb="FFFF0000"/>
        <rFont val="Calibri"/>
        <family val="2"/>
        <scheme val="minor"/>
      </rPr>
      <t>(+)</t>
    </r>
  </si>
  <si>
    <r>
      <t xml:space="preserve">Simulador </t>
    </r>
    <r>
      <rPr>
        <sz val="25"/>
        <color rgb="FFFF0000"/>
        <rFont val="Calibri"/>
        <family val="2"/>
        <scheme val="minor"/>
      </rPr>
      <t>(-)</t>
    </r>
  </si>
  <si>
    <t>D+?</t>
  </si>
  <si>
    <t>Contato de Clientes</t>
  </si>
  <si>
    <r>
      <t xml:space="preserve">Moedas do Tipo </t>
    </r>
    <r>
      <rPr>
        <sz val="25"/>
        <color rgb="FFFF0000"/>
        <rFont val="Calibri"/>
        <family val="2"/>
        <scheme val="minor"/>
      </rPr>
      <t>A</t>
    </r>
    <r>
      <rPr>
        <sz val="25"/>
        <color theme="1"/>
        <rFont val="Calibri"/>
        <family val="2"/>
        <scheme val="minor"/>
      </rPr>
      <t xml:space="preserve"> (Fortes)</t>
    </r>
  </si>
  <si>
    <r>
      <t xml:space="preserve">Moedas Tipo </t>
    </r>
    <r>
      <rPr>
        <sz val="25"/>
        <color rgb="FFFF0000"/>
        <rFont val="Calibri"/>
        <family val="2"/>
        <scheme val="minor"/>
      </rPr>
      <t>B</t>
    </r>
    <r>
      <rPr>
        <sz val="25"/>
        <color theme="1"/>
        <rFont val="Calibri"/>
        <family val="2"/>
        <scheme val="minor"/>
      </rPr>
      <t xml:space="preserve"> ( Fracas)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</si>
</sst>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0"/>
    <numFmt numFmtId="166" formatCode="0.000000"/>
    <numFmt numFmtId="167" formatCode="0.000%"/>
    <numFmt numFmtId="168" formatCode="_-[$$-409]* #,##0.00_ ;_-[$$-409]* \-#,##0.00\ ;_-[$$-409]* &quot;-&quot;??_ ;_-@_ "/>
    <numFmt numFmtId="169" formatCode="0.0000000"/>
    <numFmt numFmtId="170" formatCode="_-[$$-409]* #,##0.00_ ;_-[$$-409]* \-#,##0.00\ ;_-[$$-409]* &quot;-&quot;???????_ ;_-@_ "/>
    <numFmt numFmtId="171" formatCode="_-[$USD]\ * #,##0.00_-;\-[$USD]\ * #,##0.00_-;_-[$USD]\ * &quot;-&quot;??_-;_-@_-"/>
    <numFmt numFmtId="172" formatCode="#,##0.000_);\(#,##0.000\)"/>
    <numFmt numFmtId="173" formatCode="#,##0.00000_);\(#,##0.00000\)"/>
    <numFmt numFmtId="174" formatCode="#,##0.0000_);\(#,##0.0000\)"/>
    <numFmt numFmtId="175" formatCode="0.00000"/>
    <numFmt numFmtId="176" formatCode="_-* #,##0.0000_-;\-* #,##0.0000_-;_-* &quot;-&quot;??_-;_-@_-"/>
    <numFmt numFmtId="177" formatCode="_-[$$-409]* #,##0.0000_ ;_-[$$-409]* \-#,##0.0000\ ;_-[$$-409]* &quot;-&quot;????_ ;_-@_ "/>
    <numFmt numFmtId="178" formatCode="_-[$R$-416]\ * #,##0.00_-;\-[$R$-416]\ * #,##0.00_-;_-[$R$-416]\ * &quot;-&quot;??_-;_-@_-"/>
    <numFmt numFmtId="179" formatCode="0.000"/>
    <numFmt numFmtId="180" formatCode="0.00000%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4"/>
      <color rgb="FFDBD6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sz val="35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color rgb="FF006100"/>
      <name val="Calibri"/>
      <family val="2"/>
      <scheme val="minor"/>
    </font>
    <font>
      <b/>
      <sz val="15"/>
      <color rgb="FF9C0006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i/>
      <sz val="15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sz val="15"/>
      <color rgb="FF00B0F0"/>
      <name val="Calibri"/>
      <family val="2"/>
      <scheme val="minor"/>
    </font>
    <font>
      <sz val="15"/>
      <color rgb="FFFF0000"/>
      <name val="Calibri"/>
      <family val="2"/>
      <scheme val="minor"/>
    </font>
    <font>
      <i/>
      <sz val="15"/>
      <color theme="1"/>
      <name val="Calibri"/>
      <family val="2"/>
      <scheme val="minor"/>
    </font>
    <font>
      <b/>
      <sz val="15"/>
      <color rgb="FFFFFF00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0" tint="-0.1499984740745262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5"/>
      <color theme="9" tint="-0.249977111117893"/>
      <name val="Calibri"/>
      <family val="2"/>
      <scheme val="minor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"/>
      <family val="2"/>
    </font>
    <font>
      <b/>
      <i/>
      <sz val="14"/>
      <color theme="5" tint="-0.499984740745262"/>
      <name val="Arial"/>
      <family val="2"/>
    </font>
    <font>
      <b/>
      <sz val="14"/>
      <color indexed="9"/>
      <name val="Arial"/>
      <family val="2"/>
    </font>
    <font>
      <b/>
      <sz val="20"/>
      <color indexed="1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charset val="1"/>
    </font>
    <font>
      <b/>
      <sz val="3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5"/>
      <color rgb="FFFF0000"/>
      <name val="Calibri"/>
      <family val="2"/>
      <scheme val="minor"/>
    </font>
    <font>
      <b/>
      <sz val="25"/>
      <color theme="0"/>
      <name val="Calibri"/>
      <family val="2"/>
      <scheme val="minor"/>
    </font>
    <font>
      <i/>
      <sz val="25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B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5" fontId="14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66" fontId="16" fillId="2" borderId="6" xfId="0" applyNumberFormat="1" applyFont="1" applyFill="1" applyBorder="1" applyAlignment="1">
      <alignment horizontal="center" vertical="center"/>
    </xf>
    <xf numFmtId="1" fontId="17" fillId="2" borderId="6" xfId="0" applyNumberFormat="1" applyFont="1" applyFill="1" applyBorder="1" applyAlignment="1">
      <alignment horizontal="center" vertical="center"/>
    </xf>
    <xf numFmtId="165" fontId="16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Alignment="1">
      <alignment vertical="center"/>
    </xf>
    <xf numFmtId="0" fontId="16" fillId="16" borderId="6" xfId="0" applyFont="1" applyFill="1" applyBorder="1" applyAlignment="1">
      <alignment horizontal="center" vertical="center"/>
    </xf>
    <xf numFmtId="0" fontId="17" fillId="16" borderId="6" xfId="0" applyFont="1" applyFill="1" applyBorder="1" applyAlignment="1">
      <alignment horizontal="center" vertical="center"/>
    </xf>
    <xf numFmtId="166" fontId="16" fillId="16" borderId="6" xfId="0" applyNumberFormat="1" applyFont="1" applyFill="1" applyBorder="1" applyAlignment="1">
      <alignment horizontal="center" vertical="center"/>
    </xf>
    <xf numFmtId="1" fontId="17" fillId="16" borderId="6" xfId="0" applyNumberFormat="1" applyFont="1" applyFill="1" applyBorder="1" applyAlignment="1">
      <alignment horizontal="center" vertical="center"/>
    </xf>
    <xf numFmtId="165" fontId="16" fillId="16" borderId="6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29" fillId="2" borderId="24" xfId="0" applyFont="1" applyFill="1" applyBorder="1"/>
    <xf numFmtId="165" fontId="29" fillId="17" borderId="24" xfId="0" applyNumberFormat="1" applyFont="1" applyFill="1" applyBorder="1" applyAlignment="1" applyProtection="1">
      <alignment horizontal="center"/>
      <protection locked="0"/>
    </xf>
    <xf numFmtId="0" fontId="29" fillId="2" borderId="25" xfId="0" applyFont="1" applyFill="1" applyBorder="1"/>
    <xf numFmtId="0" fontId="29" fillId="2" borderId="6" xfId="0" applyFont="1" applyFill="1" applyBorder="1" applyAlignment="1">
      <alignment horizontal="center"/>
    </xf>
    <xf numFmtId="0" fontId="29" fillId="2" borderId="26" xfId="0" applyFont="1" applyFill="1" applyBorder="1"/>
    <xf numFmtId="165" fontId="29" fillId="17" borderId="26" xfId="0" applyNumberFormat="1" applyFont="1" applyFill="1" applyBorder="1" applyAlignment="1" applyProtection="1">
      <alignment horizontal="center"/>
      <protection locked="0"/>
    </xf>
    <xf numFmtId="0" fontId="29" fillId="2" borderId="27" xfId="0" applyFont="1" applyFill="1" applyBorder="1"/>
    <xf numFmtId="0" fontId="30" fillId="3" borderId="26" xfId="0" applyFont="1" applyFill="1" applyBorder="1"/>
    <xf numFmtId="165" fontId="31" fillId="3" borderId="26" xfId="0" applyNumberFormat="1" applyFont="1" applyFill="1" applyBorder="1" applyAlignment="1">
      <alignment horizontal="center"/>
    </xf>
    <xf numFmtId="0" fontId="29" fillId="17" borderId="26" xfId="0" applyFont="1" applyFill="1" applyBorder="1" applyAlignment="1" applyProtection="1">
      <alignment horizontal="center"/>
      <protection locked="0"/>
    </xf>
    <xf numFmtId="0" fontId="29" fillId="2" borderId="20" xfId="0" applyFont="1" applyFill="1" applyBorder="1" applyAlignment="1">
      <alignment horizontal="center"/>
    </xf>
    <xf numFmtId="0" fontId="29" fillId="2" borderId="28" xfId="0" applyFont="1" applyFill="1" applyBorder="1"/>
    <xf numFmtId="0" fontId="29" fillId="17" borderId="28" xfId="0" applyFont="1" applyFill="1" applyBorder="1" applyAlignment="1" applyProtection="1">
      <alignment horizontal="center"/>
      <protection locked="0"/>
    </xf>
    <xf numFmtId="0" fontId="29" fillId="2" borderId="0" xfId="0" applyFont="1" applyFill="1" applyAlignment="1">
      <alignment horizontal="right"/>
    </xf>
    <xf numFmtId="0" fontId="32" fillId="2" borderId="7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/>
    </xf>
    <xf numFmtId="0" fontId="30" fillId="2" borderId="5" xfId="0" applyFont="1" applyFill="1" applyBorder="1"/>
    <xf numFmtId="165" fontId="31" fillId="3" borderId="5" xfId="0" applyNumberFormat="1" applyFont="1" applyFill="1" applyBorder="1" applyAlignment="1">
      <alignment horizontal="center"/>
    </xf>
    <xf numFmtId="0" fontId="30" fillId="2" borderId="7" xfId="0" applyFont="1" applyFill="1" applyBorder="1"/>
    <xf numFmtId="165" fontId="30" fillId="3" borderId="7" xfId="0" applyNumberFormat="1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30" fillId="2" borderId="4" xfId="0" applyFont="1" applyFill="1" applyBorder="1"/>
    <xf numFmtId="165" fontId="31" fillId="3" borderId="4" xfId="0" applyNumberFormat="1" applyFont="1" applyFill="1" applyBorder="1" applyAlignment="1">
      <alignment horizontal="center"/>
    </xf>
    <xf numFmtId="20" fontId="0" fillId="2" borderId="0" xfId="0" applyNumberFormat="1" applyFill="1" applyAlignment="1">
      <alignment vertical="center"/>
    </xf>
    <xf numFmtId="2" fontId="14" fillId="2" borderId="6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14" fontId="29" fillId="2" borderId="0" xfId="0" applyNumberFormat="1" applyFont="1" applyFill="1"/>
    <xf numFmtId="0" fontId="0" fillId="25" borderId="30" xfId="0" applyFill="1" applyBorder="1" applyAlignment="1">
      <alignment horizontal="center"/>
    </xf>
    <xf numFmtId="0" fontId="40" fillId="25" borderId="31" xfId="0" applyFont="1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26" borderId="2" xfId="0" applyFill="1" applyBorder="1"/>
    <xf numFmtId="172" fontId="3" fillId="15" borderId="7" xfId="6" applyNumberFormat="1" applyFont="1" applyFill="1" applyBorder="1" applyAlignment="1">
      <alignment horizontal="center"/>
    </xf>
    <xf numFmtId="39" fontId="3" fillId="15" borderId="7" xfId="6" applyNumberFormat="1" applyFont="1" applyFill="1" applyBorder="1" applyAlignment="1">
      <alignment horizontal="center"/>
    </xf>
    <xf numFmtId="39" fontId="3" fillId="26" borderId="7" xfId="6" applyNumberFormat="1" applyFont="1" applyFill="1" applyBorder="1" applyAlignment="1">
      <alignment horizontal="center"/>
    </xf>
    <xf numFmtId="37" fontId="3" fillId="15" borderId="7" xfId="6" applyNumberFormat="1" applyFont="1" applyFill="1" applyBorder="1" applyAlignment="1">
      <alignment horizontal="center"/>
    </xf>
    <xf numFmtId="37" fontId="41" fillId="26" borderId="7" xfId="6" applyNumberFormat="1" applyFont="1" applyFill="1" applyBorder="1" applyAlignment="1">
      <alignment horizontal="left"/>
    </xf>
    <xf numFmtId="173" fontId="42" fillId="26" borderId="35" xfId="6" applyNumberFormat="1" applyFont="1" applyFill="1" applyBorder="1" applyAlignment="1">
      <alignment horizontal="center"/>
    </xf>
    <xf numFmtId="0" fontId="0" fillId="15" borderId="0" xfId="0" applyFill="1"/>
    <xf numFmtId="0" fontId="0" fillId="26" borderId="36" xfId="0" applyFill="1" applyBorder="1"/>
    <xf numFmtId="39" fontId="3" fillId="26" borderId="0" xfId="6" applyNumberFormat="1" applyFont="1" applyFill="1" applyBorder="1" applyAlignment="1">
      <alignment horizontal="center"/>
    </xf>
    <xf numFmtId="173" fontId="42" fillId="26" borderId="37" xfId="6" applyNumberFormat="1" applyFont="1" applyFill="1" applyBorder="1" applyAlignment="1">
      <alignment horizontal="center"/>
    </xf>
    <xf numFmtId="0" fontId="0" fillId="26" borderId="15" xfId="0" applyFill="1" applyBorder="1"/>
    <xf numFmtId="0" fontId="0" fillId="26" borderId="13" xfId="0" applyFill="1" applyBorder="1"/>
    <xf numFmtId="0" fontId="0" fillId="26" borderId="0" xfId="0" applyFill="1" applyBorder="1"/>
    <xf numFmtId="173" fontId="43" fillId="27" borderId="7" xfId="6" applyNumberFormat="1" applyFont="1" applyFill="1" applyBorder="1" applyAlignment="1">
      <alignment horizontal="center"/>
    </xf>
    <xf numFmtId="0" fontId="44" fillId="17" borderId="17" xfId="0" applyFont="1" applyFill="1" applyBorder="1"/>
    <xf numFmtId="0" fontId="0" fillId="17" borderId="0" xfId="0" applyFill="1"/>
    <xf numFmtId="0" fontId="0" fillId="26" borderId="10" xfId="0" applyFill="1" applyBorder="1"/>
    <xf numFmtId="0" fontId="0" fillId="26" borderId="14" xfId="0" applyFill="1" applyBorder="1"/>
    <xf numFmtId="173" fontId="42" fillId="26" borderId="29" xfId="6" applyNumberFormat="1" applyFont="1" applyFill="1" applyBorder="1" applyAlignment="1">
      <alignment horizontal="center"/>
    </xf>
    <xf numFmtId="0" fontId="0" fillId="26" borderId="38" xfId="0" applyFill="1" applyBorder="1"/>
    <xf numFmtId="0" fontId="45" fillId="28" borderId="7" xfId="0" applyFont="1" applyFill="1" applyBorder="1" applyAlignment="1">
      <alignment horizontal="center"/>
    </xf>
    <xf numFmtId="174" fontId="3" fillId="15" borderId="7" xfId="6" applyNumberFormat="1" applyFont="1" applyFill="1" applyBorder="1" applyAlignment="1">
      <alignment horizontal="center"/>
    </xf>
    <xf numFmtId="173" fontId="46" fillId="26" borderId="7" xfId="6" applyNumberFormat="1" applyFont="1" applyFill="1" applyBorder="1" applyAlignment="1">
      <alignment horizontal="center"/>
    </xf>
    <xf numFmtId="0" fontId="0" fillId="26" borderId="39" xfId="0" applyFill="1" applyBorder="1"/>
    <xf numFmtId="175" fontId="47" fillId="28" borderId="4" xfId="0" applyNumberFormat="1" applyFont="1" applyFill="1" applyBorder="1" applyAlignment="1">
      <alignment horizontal="center"/>
    </xf>
    <xf numFmtId="174" fontId="46" fillId="26" borderId="1" xfId="6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40" fillId="25" borderId="32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 vertical="center"/>
    </xf>
    <xf numFmtId="165" fontId="29" fillId="2" borderId="6" xfId="0" applyNumberFormat="1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2" borderId="11" xfId="0" applyFont="1" applyFill="1" applyBorder="1" applyAlignment="1">
      <alignment horizontal="center" vertical="center"/>
    </xf>
    <xf numFmtId="10" fontId="51" fillId="2" borderId="10" xfId="8" applyNumberFormat="1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9" fontId="51" fillId="2" borderId="11" xfId="8" applyFont="1" applyFill="1" applyBorder="1" applyAlignment="1">
      <alignment horizontal="center" vertical="center"/>
    </xf>
    <xf numFmtId="0" fontId="51" fillId="2" borderId="6" xfId="0" applyFont="1" applyFill="1" applyBorder="1" applyAlignment="1">
      <alignment horizontal="center" vertical="center"/>
    </xf>
    <xf numFmtId="0" fontId="51" fillId="2" borderId="0" xfId="0" applyFont="1" applyFill="1"/>
    <xf numFmtId="0" fontId="52" fillId="2" borderId="6" xfId="0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/>
    </xf>
    <xf numFmtId="167" fontId="51" fillId="2" borderId="6" xfId="8" applyNumberFormat="1" applyFont="1" applyFill="1" applyBorder="1"/>
    <xf numFmtId="0" fontId="51" fillId="2" borderId="0" xfId="0" applyFont="1" applyFill="1" applyAlignment="1">
      <alignment horizontal="center" vertical="center"/>
    </xf>
    <xf numFmtId="0" fontId="23" fillId="2" borderId="0" xfId="0" applyFont="1" applyFill="1"/>
    <xf numFmtId="165" fontId="29" fillId="2" borderId="0" xfId="0" applyNumberFormat="1" applyFont="1" applyFill="1"/>
    <xf numFmtId="0" fontId="20" fillId="6" borderId="6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165" fontId="29" fillId="2" borderId="10" xfId="0" applyNumberFormat="1" applyFont="1" applyFill="1" applyBorder="1"/>
    <xf numFmtId="165" fontId="29" fillId="7" borderId="18" xfId="0" applyNumberFormat="1" applyFont="1" applyFill="1" applyBorder="1"/>
    <xf numFmtId="0" fontId="29" fillId="2" borderId="0" xfId="0" applyFont="1" applyFill="1" applyBorder="1"/>
    <xf numFmtId="10" fontId="29" fillId="2" borderId="0" xfId="0" applyNumberFormat="1" applyFont="1" applyFill="1"/>
    <xf numFmtId="0" fontId="29" fillId="2" borderId="6" xfId="0" applyFont="1" applyFill="1" applyBorder="1"/>
    <xf numFmtId="0" fontId="29" fillId="2" borderId="0" xfId="0" applyFont="1" applyFill="1" applyBorder="1" applyAlignment="1"/>
    <xf numFmtId="0" fontId="26" fillId="2" borderId="0" xfId="0" applyFont="1" applyFill="1" applyAlignment="1">
      <alignment vertical="center"/>
    </xf>
    <xf numFmtId="0" fontId="56" fillId="2" borderId="0" xfId="0" applyFont="1" applyFill="1" applyAlignment="1">
      <alignment horizontal="center" vertical="center"/>
    </xf>
    <xf numFmtId="0" fontId="55" fillId="19" borderId="6" xfId="0" applyFont="1" applyFill="1" applyBorder="1" applyAlignment="1">
      <alignment horizontal="center" vertical="center"/>
    </xf>
    <xf numFmtId="0" fontId="55" fillId="5" borderId="6" xfId="0" applyFont="1" applyFill="1" applyBorder="1" applyAlignment="1">
      <alignment horizontal="center" vertical="center"/>
    </xf>
    <xf numFmtId="165" fontId="26" fillId="17" borderId="6" xfId="0" applyNumberFormat="1" applyFont="1" applyFill="1" applyBorder="1" applyAlignment="1">
      <alignment vertical="center"/>
    </xf>
    <xf numFmtId="165" fontId="56" fillId="2" borderId="6" xfId="0" applyNumberFormat="1" applyFont="1" applyFill="1" applyBorder="1" applyAlignment="1">
      <alignment horizontal="center" vertical="center"/>
    </xf>
    <xf numFmtId="167" fontId="23" fillId="2" borderId="6" xfId="0" applyNumberFormat="1" applyFont="1" applyFill="1" applyBorder="1" applyAlignment="1">
      <alignment vertical="center"/>
    </xf>
    <xf numFmtId="168" fontId="29" fillId="0" borderId="42" xfId="7" applyNumberFormat="1" applyFont="1" applyBorder="1" applyAlignment="1">
      <alignment vertical="center"/>
    </xf>
    <xf numFmtId="165" fontId="29" fillId="0" borderId="43" xfId="0" applyNumberFormat="1" applyFont="1" applyBorder="1" applyAlignment="1">
      <alignment vertical="center"/>
    </xf>
    <xf numFmtId="168" fontId="29" fillId="0" borderId="18" xfId="7" applyNumberFormat="1" applyFont="1" applyBorder="1" applyAlignment="1">
      <alignment vertical="center"/>
    </xf>
    <xf numFmtId="165" fontId="29" fillId="0" borderId="44" xfId="0" applyNumberFormat="1" applyFont="1" applyBorder="1" applyAlignment="1">
      <alignment vertical="center"/>
    </xf>
    <xf numFmtId="43" fontId="30" fillId="29" borderId="8" xfId="7" applyFont="1" applyFill="1" applyBorder="1" applyAlignment="1">
      <alignment vertical="center"/>
    </xf>
    <xf numFmtId="176" fontId="30" fillId="29" borderId="17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5" fillId="2" borderId="6" xfId="5" applyFill="1" applyBorder="1" applyAlignment="1">
      <alignment horizontal="center" vertical="center"/>
    </xf>
    <xf numFmtId="0" fontId="20" fillId="14" borderId="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5" fillId="2" borderId="6" xfId="5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0" fillId="14" borderId="19" xfId="0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0" fillId="14" borderId="15" xfId="0" applyFont="1" applyFill="1" applyBorder="1" applyAlignment="1">
      <alignment horizontal="center" vertical="center"/>
    </xf>
    <xf numFmtId="0" fontId="20" fillId="14" borderId="14" xfId="0" applyFont="1" applyFill="1" applyBorder="1" applyAlignment="1">
      <alignment horizontal="center" vertical="center"/>
    </xf>
    <xf numFmtId="0" fontId="52" fillId="2" borderId="6" xfId="0" applyFont="1" applyFill="1" applyBorder="1" applyAlignment="1">
      <alignment horizontal="center" vertical="center"/>
    </xf>
    <xf numFmtId="167" fontId="53" fillId="31" borderId="6" xfId="8" applyNumberFormat="1" applyFont="1" applyFill="1" applyBorder="1" applyAlignment="1">
      <alignment horizontal="center"/>
    </xf>
    <xf numFmtId="10" fontId="51" fillId="2" borderId="6" xfId="8" applyNumberFormat="1" applyFont="1" applyFill="1" applyBorder="1" applyAlignment="1">
      <alignment horizontal="center"/>
    </xf>
    <xf numFmtId="0" fontId="50" fillId="14" borderId="6" xfId="0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horizontal="center"/>
    </xf>
    <xf numFmtId="180" fontId="53" fillId="31" borderId="6" xfId="8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/>
    </xf>
    <xf numFmtId="165" fontId="29" fillId="2" borderId="20" xfId="0" applyNumberFormat="1" applyFont="1" applyFill="1" applyBorder="1" applyAlignment="1">
      <alignment horizontal="center" vertical="center"/>
    </xf>
    <xf numFmtId="165" fontId="29" fillId="2" borderId="21" xfId="0" applyNumberFormat="1" applyFont="1" applyFill="1" applyBorder="1" applyAlignment="1">
      <alignment horizontal="center" vertical="center"/>
    </xf>
    <xf numFmtId="165" fontId="29" fillId="2" borderId="23" xfId="0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30" fillId="2" borderId="8" xfId="0" applyFont="1" applyFill="1" applyBorder="1" applyAlignment="1">
      <alignment horizontal="left" vertical="center"/>
    </xf>
    <xf numFmtId="0" fontId="30" fillId="2" borderId="16" xfId="0" applyFont="1" applyFill="1" applyBorder="1" applyAlignment="1">
      <alignment horizontal="left" vertical="center"/>
    </xf>
    <xf numFmtId="165" fontId="30" fillId="2" borderId="16" xfId="0" applyNumberFormat="1" applyFont="1" applyFill="1" applyBorder="1" applyAlignment="1">
      <alignment horizontal="right" vertical="center"/>
    </xf>
    <xf numFmtId="165" fontId="30" fillId="2" borderId="17" xfId="0" applyNumberFormat="1" applyFont="1" applyFill="1" applyBorder="1" applyAlignment="1">
      <alignment horizontal="right" vertical="center"/>
    </xf>
    <xf numFmtId="0" fontId="30" fillId="8" borderId="6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/>
    </xf>
    <xf numFmtId="0" fontId="52" fillId="5" borderId="6" xfId="0" applyFont="1" applyFill="1" applyBorder="1" applyAlignment="1">
      <alignment horizontal="center" vertical="center"/>
    </xf>
    <xf numFmtId="1" fontId="53" fillId="31" borderId="6" xfId="0" applyNumberFormat="1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/>
    </xf>
    <xf numFmtId="0" fontId="30" fillId="19" borderId="0" xfId="0" applyFont="1" applyFill="1" applyAlignment="1">
      <alignment horizontal="center" vertical="center"/>
    </xf>
    <xf numFmtId="0" fontId="29" fillId="2" borderId="6" xfId="0" applyFont="1" applyFill="1" applyBorder="1" applyAlignment="1">
      <alignment horizontal="right" vertical="center"/>
    </xf>
    <xf numFmtId="0" fontId="34" fillId="2" borderId="0" xfId="0" applyFont="1" applyFill="1" applyAlignment="1">
      <alignment horizontal="left" vertical="center"/>
    </xf>
    <xf numFmtId="0" fontId="34" fillId="2" borderId="22" xfId="0" applyFont="1" applyFill="1" applyBorder="1" applyAlignment="1">
      <alignment horizontal="left" vertical="center"/>
    </xf>
    <xf numFmtId="168" fontId="30" fillId="2" borderId="6" xfId="0" applyNumberFormat="1" applyFont="1" applyFill="1" applyBorder="1" applyAlignment="1">
      <alignment horizontal="center" vertical="center"/>
    </xf>
    <xf numFmtId="169" fontId="29" fillId="2" borderId="6" xfId="0" applyNumberFormat="1" applyFont="1" applyFill="1" applyBorder="1" applyAlignment="1">
      <alignment horizontal="right" vertical="center"/>
    </xf>
    <xf numFmtId="165" fontId="29" fillId="7" borderId="6" xfId="0" applyNumberFormat="1" applyFont="1" applyFill="1" applyBorder="1" applyAlignment="1">
      <alignment horizontal="right" vertical="center"/>
    </xf>
    <xf numFmtId="0" fontId="39" fillId="2" borderId="0" xfId="0" applyFont="1" applyFill="1" applyAlignment="1">
      <alignment horizontal="left" vertical="center"/>
    </xf>
    <xf numFmtId="0" fontId="39" fillId="2" borderId="22" xfId="0" applyFont="1" applyFill="1" applyBorder="1" applyAlignment="1">
      <alignment horizontal="left" vertical="center"/>
    </xf>
    <xf numFmtId="170" fontId="24" fillId="2" borderId="6" xfId="0" applyNumberFormat="1" applyFont="1" applyFill="1" applyBorder="1" applyAlignment="1">
      <alignment horizontal="center" vertical="center"/>
    </xf>
    <xf numFmtId="169" fontId="30" fillId="7" borderId="10" xfId="0" applyNumberFormat="1" applyFont="1" applyFill="1" applyBorder="1" applyAlignment="1">
      <alignment horizontal="right" vertical="center"/>
    </xf>
    <xf numFmtId="0" fontId="30" fillId="7" borderId="12" xfId="0" applyFont="1" applyFill="1" applyBorder="1" applyAlignment="1">
      <alignment horizontal="right" vertical="center"/>
    </xf>
    <xf numFmtId="0" fontId="30" fillId="7" borderId="11" xfId="0" applyFont="1" applyFill="1" applyBorder="1" applyAlignment="1">
      <alignment horizontal="right" vertical="center"/>
    </xf>
    <xf numFmtId="169" fontId="30" fillId="7" borderId="6" xfId="0" applyNumberFormat="1" applyFont="1" applyFill="1" applyBorder="1" applyAlignment="1">
      <alignment horizontal="right" vertical="center"/>
    </xf>
    <xf numFmtId="0" fontId="30" fillId="7" borderId="6" xfId="0" applyFont="1" applyFill="1" applyBorder="1" applyAlignment="1">
      <alignment horizontal="right" vertical="center"/>
    </xf>
    <xf numFmtId="171" fontId="29" fillId="2" borderId="6" xfId="0" applyNumberFormat="1" applyFont="1" applyFill="1" applyBorder="1" applyAlignment="1">
      <alignment horizontal="center" vertical="center"/>
    </xf>
    <xf numFmtId="0" fontId="36" fillId="23" borderId="0" xfId="0" applyFont="1" applyFill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2" fontId="29" fillId="2" borderId="6" xfId="0" applyNumberFormat="1" applyFont="1" applyFill="1" applyBorder="1" applyAlignment="1">
      <alignment horizontal="center" vertical="center"/>
    </xf>
    <xf numFmtId="165" fontId="29" fillId="2" borderId="6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/>
    </xf>
    <xf numFmtId="0" fontId="27" fillId="24" borderId="12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left" vertical="center"/>
    </xf>
    <xf numFmtId="171" fontId="27" fillId="24" borderId="6" xfId="0" applyNumberFormat="1" applyFont="1" applyFill="1" applyBorder="1" applyAlignment="1">
      <alignment horizontal="center" vertical="center"/>
    </xf>
    <xf numFmtId="0" fontId="36" fillId="22" borderId="0" xfId="0" applyFont="1" applyFill="1" applyAlignment="1">
      <alignment horizontal="center" vertical="center"/>
    </xf>
    <xf numFmtId="0" fontId="30" fillId="2" borderId="8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left" vertical="center" wrapText="1"/>
    </xf>
    <xf numFmtId="168" fontId="24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165" fontId="35" fillId="20" borderId="6" xfId="0" applyNumberFormat="1" applyFont="1" applyFill="1" applyBorder="1" applyAlignment="1">
      <alignment horizontal="right" vertical="center"/>
    </xf>
    <xf numFmtId="165" fontId="37" fillId="21" borderId="6" xfId="0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/>
    </xf>
    <xf numFmtId="0" fontId="21" fillId="9" borderId="10" xfId="3" applyFont="1" applyBorder="1" applyAlignment="1">
      <alignment horizontal="center" vertical="center"/>
    </xf>
    <xf numFmtId="0" fontId="21" fillId="9" borderId="12" xfId="3" applyFont="1" applyBorder="1" applyAlignment="1">
      <alignment horizontal="center" vertical="center"/>
    </xf>
    <xf numFmtId="0" fontId="21" fillId="9" borderId="11" xfId="3" applyFont="1" applyBorder="1" applyAlignment="1">
      <alignment horizontal="center" vertical="center"/>
    </xf>
    <xf numFmtId="0" fontId="22" fillId="10" borderId="10" xfId="4" applyFont="1" applyBorder="1" applyAlignment="1">
      <alignment horizontal="center" vertical="center"/>
    </xf>
    <xf numFmtId="0" fontId="22" fillId="10" borderId="12" xfId="4" applyFont="1" applyBorder="1" applyAlignment="1">
      <alignment horizontal="center" vertical="center"/>
    </xf>
    <xf numFmtId="0" fontId="22" fillId="10" borderId="11" xfId="4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52" fillId="2" borderId="10" xfId="0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horizontal="center" vertical="center"/>
    </xf>
    <xf numFmtId="179" fontId="53" fillId="31" borderId="10" xfId="0" applyNumberFormat="1" applyFont="1" applyFill="1" applyBorder="1" applyAlignment="1">
      <alignment horizontal="center" vertical="center"/>
    </xf>
    <xf numFmtId="179" fontId="53" fillId="31" borderId="12" xfId="0" applyNumberFormat="1" applyFont="1" applyFill="1" applyBorder="1" applyAlignment="1">
      <alignment horizontal="center" vertical="center"/>
    </xf>
    <xf numFmtId="179" fontId="53" fillId="31" borderId="11" xfId="0" applyNumberFormat="1" applyFont="1" applyFill="1" applyBorder="1" applyAlignment="1">
      <alignment horizontal="center" vertical="center"/>
    </xf>
    <xf numFmtId="10" fontId="53" fillId="31" borderId="10" xfId="8" applyNumberFormat="1" applyFont="1" applyFill="1" applyBorder="1" applyAlignment="1">
      <alignment horizontal="center" vertical="center"/>
    </xf>
    <xf numFmtId="10" fontId="53" fillId="31" borderId="12" xfId="8" applyNumberFormat="1" applyFont="1" applyFill="1" applyBorder="1" applyAlignment="1">
      <alignment horizontal="center" vertical="center"/>
    </xf>
    <xf numFmtId="10" fontId="53" fillId="31" borderId="11" xfId="8" applyNumberFormat="1" applyFont="1" applyFill="1" applyBorder="1" applyAlignment="1">
      <alignment horizontal="center" vertical="center"/>
    </xf>
    <xf numFmtId="2" fontId="53" fillId="31" borderId="10" xfId="0" applyNumberFormat="1" applyFont="1" applyFill="1" applyBorder="1" applyAlignment="1">
      <alignment horizontal="center" vertical="center"/>
    </xf>
    <xf numFmtId="2" fontId="53" fillId="31" borderId="12" xfId="0" applyNumberFormat="1" applyFont="1" applyFill="1" applyBorder="1" applyAlignment="1">
      <alignment horizontal="center" vertical="center"/>
    </xf>
    <xf numFmtId="2" fontId="53" fillId="31" borderId="11" xfId="0" applyNumberFormat="1" applyFont="1" applyFill="1" applyBorder="1" applyAlignment="1">
      <alignment horizontal="center" vertical="center"/>
    </xf>
    <xf numFmtId="0" fontId="50" fillId="14" borderId="10" xfId="0" applyFont="1" applyFill="1" applyBorder="1" applyAlignment="1">
      <alignment horizontal="center" vertical="center"/>
    </xf>
    <xf numFmtId="0" fontId="50" fillId="14" borderId="12" xfId="0" applyFont="1" applyFill="1" applyBorder="1" applyAlignment="1">
      <alignment horizontal="center" vertical="center"/>
    </xf>
    <xf numFmtId="0" fontId="50" fillId="14" borderId="11" xfId="0" applyFont="1" applyFill="1" applyBorder="1" applyAlignment="1">
      <alignment horizontal="center" vertical="center"/>
    </xf>
    <xf numFmtId="178" fontId="53" fillId="31" borderId="6" xfId="0" applyNumberFormat="1" applyFont="1" applyFill="1" applyBorder="1" applyAlignment="1">
      <alignment horizontal="center" vertical="center"/>
    </xf>
    <xf numFmtId="0" fontId="53" fillId="31" borderId="6" xfId="0" applyFont="1" applyFill="1" applyBorder="1" applyAlignment="1">
      <alignment horizontal="center" vertical="center"/>
    </xf>
    <xf numFmtId="178" fontId="52" fillId="2" borderId="6" xfId="0" applyNumberFormat="1" applyFont="1" applyFill="1" applyBorder="1" applyAlignment="1">
      <alignment horizontal="center" vertical="center"/>
    </xf>
    <xf numFmtId="10" fontId="53" fillId="31" borderId="6" xfId="8" applyNumberFormat="1" applyFont="1" applyFill="1" applyBorder="1" applyAlignment="1">
      <alignment horizontal="center" vertical="center"/>
    </xf>
    <xf numFmtId="0" fontId="50" fillId="14" borderId="6" xfId="0" applyFont="1" applyFill="1" applyBorder="1" applyAlignment="1">
      <alignment horizontal="center" vertical="center"/>
    </xf>
    <xf numFmtId="9" fontId="52" fillId="2" borderId="6" xfId="8" applyFont="1" applyFill="1" applyBorder="1" applyAlignment="1">
      <alignment horizontal="center" vertical="center"/>
    </xf>
    <xf numFmtId="9" fontId="52" fillId="2" borderId="6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/>
    </xf>
    <xf numFmtId="0" fontId="16" fillId="16" borderId="11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166" fontId="15" fillId="13" borderId="10" xfId="0" applyNumberFormat="1" applyFont="1" applyFill="1" applyBorder="1" applyAlignment="1">
      <alignment horizontal="center" vertical="center"/>
    </xf>
    <xf numFmtId="166" fontId="15" fillId="13" borderId="11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168" fontId="30" fillId="30" borderId="16" xfId="6" applyNumberFormat="1" applyFont="1" applyFill="1" applyBorder="1" applyAlignment="1">
      <alignment horizontal="center" vertical="center"/>
    </xf>
    <xf numFmtId="168" fontId="30" fillId="30" borderId="17" xfId="6" applyNumberFormat="1" applyFont="1" applyFill="1" applyBorder="1" applyAlignment="1">
      <alignment horizontal="center" vertical="center"/>
    </xf>
    <xf numFmtId="43" fontId="30" fillId="30" borderId="8" xfId="7" applyFont="1" applyFill="1" applyBorder="1" applyAlignment="1">
      <alignment horizontal="left" vertical="center"/>
    </xf>
    <xf numFmtId="43" fontId="30" fillId="30" borderId="16" xfId="7" applyFont="1" applyFill="1" applyBorder="1" applyAlignment="1">
      <alignment horizontal="left" vertical="center"/>
    </xf>
    <xf numFmtId="0" fontId="20" fillId="14" borderId="10" xfId="0" applyFont="1" applyFill="1" applyBorder="1" applyAlignment="1">
      <alignment horizontal="center" vertical="center"/>
    </xf>
    <xf numFmtId="0" fontId="20" fillId="14" borderId="11" xfId="0" applyFont="1" applyFill="1" applyBorder="1" applyAlignment="1">
      <alignment horizontal="center" vertical="center"/>
    </xf>
    <xf numFmtId="0" fontId="20" fillId="14" borderId="12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1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178" fontId="29" fillId="2" borderId="6" xfId="0" applyNumberFormat="1" applyFont="1" applyFill="1" applyBorder="1" applyAlignment="1">
      <alignment horizontal="center" vertical="center"/>
    </xf>
    <xf numFmtId="177" fontId="38" fillId="7" borderId="6" xfId="0" applyNumberFormat="1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178" fontId="38" fillId="7" borderId="6" xfId="0" applyNumberFormat="1" applyFont="1" applyFill="1" applyBorder="1" applyAlignment="1">
      <alignment horizontal="center" vertical="center"/>
    </xf>
    <xf numFmtId="168" fontId="29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0" fillId="25" borderId="32" xfId="0" applyFont="1" applyFill="1" applyBorder="1" applyAlignment="1">
      <alignment horizontal="center"/>
    </xf>
    <xf numFmtId="0" fontId="40" fillId="25" borderId="3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40" fillId="25" borderId="33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left"/>
    </xf>
    <xf numFmtId="0" fontId="40" fillId="26" borderId="39" xfId="0" applyFont="1" applyFill="1" applyBorder="1" applyAlignment="1">
      <alignment horizontal="left"/>
    </xf>
    <xf numFmtId="0" fontId="40" fillId="26" borderId="40" xfId="0" applyFont="1" applyFill="1" applyBorder="1" applyAlignment="1">
      <alignment horizontal="left"/>
    </xf>
    <xf numFmtId="0" fontId="40" fillId="26" borderId="41" xfId="0" applyFont="1" applyFill="1" applyBorder="1" applyAlignment="1">
      <alignment horizontal="left"/>
    </xf>
  </cellXfs>
  <cellStyles count="9">
    <cellStyle name="Bom" xfId="3" builtinId="26"/>
    <cellStyle name="Hiperlink" xfId="5" builtinId="8"/>
    <cellStyle name="Moeda" xfId="6" builtinId="4"/>
    <cellStyle name="Moeda 2" xfId="2" xr:uid="{00000000-0005-0000-0000-000004000000}"/>
    <cellStyle name="Normal" xfId="0" builtinId="0"/>
    <cellStyle name="Normal 2" xfId="1" xr:uid="{00000000-0005-0000-0000-000006000000}"/>
    <cellStyle name="Porcentagem" xfId="8" builtinId="5"/>
    <cellStyle name="Ruim" xfId="4" builtinId="27"/>
    <cellStyle name="Vírgula" xfId="7" builtinId="3"/>
  </cellStyles>
  <dxfs count="0"/>
  <tableStyles count="0" defaultTableStyle="TableStyleMedium2" defaultPivotStyle="PivotStyleLight16"/>
  <colors>
    <mruColors>
      <color rgb="FFFFFFCC"/>
      <color rgb="FFFFFF99"/>
      <color rgb="FF0000FF"/>
      <color rgb="FFFFE9A3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oedas!A1"/><Relationship Id="rId2" Type="http://schemas.openxmlformats.org/officeDocument/2006/relationships/hyperlink" Target="#Not&#237;cias!A1"/><Relationship Id="rId1" Type="http://schemas.openxmlformats.org/officeDocument/2006/relationships/hyperlink" Target="#Capa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Spreads!A1"/><Relationship Id="rId2" Type="http://schemas.openxmlformats.org/officeDocument/2006/relationships/hyperlink" Target="#'C&#225;lculo de Taxas'!A1"/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Not&#237;cias!A1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monde.fr/" TargetMode="External"/><Relationship Id="rId13" Type="http://schemas.openxmlformats.org/officeDocument/2006/relationships/hyperlink" Target="#Capa!A1"/><Relationship Id="rId3" Type="http://schemas.openxmlformats.org/officeDocument/2006/relationships/hyperlink" Target="https://economia.uol.com.br/" TargetMode="External"/><Relationship Id="rId7" Type="http://schemas.openxmlformats.org/officeDocument/2006/relationships/hyperlink" Target="https://www.elfinanciero.com.mx/" TargetMode="External"/><Relationship Id="rId12" Type="http://schemas.openxmlformats.org/officeDocument/2006/relationships/hyperlink" Target="https://www.ft.com/" TargetMode="External"/><Relationship Id="rId2" Type="http://schemas.openxmlformats.org/officeDocument/2006/relationships/hyperlink" Target="https://g1.globo.com/economia/" TargetMode="External"/><Relationship Id="rId1" Type="http://schemas.openxmlformats.org/officeDocument/2006/relationships/hyperlink" Target="https://www.bloomberg.com/" TargetMode="External"/><Relationship Id="rId6" Type="http://schemas.openxmlformats.org/officeDocument/2006/relationships/hyperlink" Target="https://www.wsj.com/" TargetMode="External"/><Relationship Id="rId11" Type="http://schemas.openxmlformats.org/officeDocument/2006/relationships/hyperlink" Target="https://oglobo.globo.com/" TargetMode="External"/><Relationship Id="rId5" Type="http://schemas.openxmlformats.org/officeDocument/2006/relationships/hyperlink" Target="https://www.bloomberg.com.br/blog/" TargetMode="External"/><Relationship Id="rId10" Type="http://schemas.openxmlformats.org/officeDocument/2006/relationships/hyperlink" Target="https://www.nytimes.com/" TargetMode="External"/><Relationship Id="rId4" Type="http://schemas.openxmlformats.org/officeDocument/2006/relationships/hyperlink" Target="https://br.reuters.com/" TargetMode="External"/><Relationship Id="rId9" Type="http://schemas.openxmlformats.org/officeDocument/2006/relationships/hyperlink" Target="https://www.infomoney.com.br/" TargetMode="External"/><Relationship Id="rId14" Type="http://schemas.openxmlformats.org/officeDocument/2006/relationships/hyperlink" Target="#Moedas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Porcentagem!A1"/><Relationship Id="rId2" Type="http://schemas.openxmlformats.org/officeDocument/2006/relationships/hyperlink" Target="#'C&#225;lculo de Taxas'!A1"/><Relationship Id="rId1" Type="http://schemas.openxmlformats.org/officeDocument/2006/relationships/hyperlink" Target="#Capa!A1"/><Relationship Id="rId5" Type="http://schemas.openxmlformats.org/officeDocument/2006/relationships/hyperlink" Target="#'Lucro na Opera&#231;&#227;o'!A1"/><Relationship Id="rId4" Type="http://schemas.openxmlformats.org/officeDocument/2006/relationships/hyperlink" Target="#Spreads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Not&#237;cias!A1"/><Relationship Id="rId2" Type="http://schemas.openxmlformats.org/officeDocument/2006/relationships/hyperlink" Target="#Moedas!A1"/><Relationship Id="rId1" Type="http://schemas.openxmlformats.org/officeDocument/2006/relationships/hyperlink" Target="#Capa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Opera&#231;&#245;es Matem&#225;ticas'!A1"/><Relationship Id="rId2" Type="http://schemas.openxmlformats.org/officeDocument/2006/relationships/hyperlink" Target="#'C&#225;lculo de Taxas'!A1"/><Relationship Id="rId1" Type="http://schemas.openxmlformats.org/officeDocument/2006/relationships/hyperlink" Target="#Capa!A1"/><Relationship Id="rId5" Type="http://schemas.openxmlformats.org/officeDocument/2006/relationships/hyperlink" Target="#'Lucro na Opera&#231;&#227;o'!A1"/><Relationship Id="rId4" Type="http://schemas.openxmlformats.org/officeDocument/2006/relationships/hyperlink" Target="#Spreads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Spreads!A1"/><Relationship Id="rId2" Type="http://schemas.openxmlformats.org/officeDocument/2006/relationships/hyperlink" Target="#'Simulador de CDI (-)'!A1"/><Relationship Id="rId1" Type="http://schemas.openxmlformats.org/officeDocument/2006/relationships/hyperlink" Target="#Capa!A1"/><Relationship Id="rId4" Type="http://schemas.openxmlformats.org/officeDocument/2006/relationships/hyperlink" Target="#'Lucro na Opera&#231;&#227;o'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Spreads!A1"/><Relationship Id="rId2" Type="http://schemas.openxmlformats.org/officeDocument/2006/relationships/hyperlink" Target="#'Simulador de CDI (+)'!A1"/><Relationship Id="rId1" Type="http://schemas.openxmlformats.org/officeDocument/2006/relationships/hyperlink" Target="#Capa!A1"/><Relationship Id="rId4" Type="http://schemas.openxmlformats.org/officeDocument/2006/relationships/hyperlink" Target="#'Lucro na Opera&#231;&#227;o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Conversor de Paridade (A)'!A1"/><Relationship Id="rId2" Type="http://schemas.openxmlformats.org/officeDocument/2006/relationships/hyperlink" Target="#'Conversor de Paridade (B)'!A1"/><Relationship Id="rId1" Type="http://schemas.openxmlformats.org/officeDocument/2006/relationships/hyperlink" Target="#Capa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Spreads!A1"/><Relationship Id="rId2" Type="http://schemas.openxmlformats.org/officeDocument/2006/relationships/hyperlink" Target="#Trava!A1"/><Relationship Id="rId1" Type="http://schemas.openxmlformats.org/officeDocument/2006/relationships/hyperlink" Target="#Capa!A1"/><Relationship Id="rId4" Type="http://schemas.openxmlformats.org/officeDocument/2006/relationships/hyperlink" Target="#'Lucro na Opera&#231;&#227;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Opera&#231;&#245;es Matem&#225;ticas'!A1"/><Relationship Id="rId2" Type="http://schemas.openxmlformats.org/officeDocument/2006/relationships/hyperlink" Target="#Porcentagem!A1"/><Relationship Id="rId1" Type="http://schemas.openxmlformats.org/officeDocument/2006/relationships/hyperlink" Target="#Capa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Conversor de Paridade (A)'!A1"/><Relationship Id="rId2" Type="http://schemas.openxmlformats.org/officeDocument/2006/relationships/hyperlink" Target="#'Conversor de Paridade (B)'!A1"/><Relationship Id="rId1" Type="http://schemas.openxmlformats.org/officeDocument/2006/relationships/hyperlink" Target="#Capa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preads!A1"/><Relationship Id="rId2" Type="http://schemas.openxmlformats.org/officeDocument/2006/relationships/hyperlink" Target="#'Conversor de Paridade (B)'!A1"/><Relationship Id="rId1" Type="http://schemas.openxmlformats.org/officeDocument/2006/relationships/hyperlink" Target="#Capa!A1"/><Relationship Id="rId5" Type="http://schemas.openxmlformats.org/officeDocument/2006/relationships/hyperlink" Target="#'Lucro na Opera&#231;&#227;o'!A1"/><Relationship Id="rId4" Type="http://schemas.openxmlformats.org/officeDocument/2006/relationships/hyperlink" Target="#'C&#225;lculo de Taxa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preads!A1"/><Relationship Id="rId2" Type="http://schemas.openxmlformats.org/officeDocument/2006/relationships/hyperlink" Target="#'Conversor de Paridade (A)'!A1"/><Relationship Id="rId1" Type="http://schemas.openxmlformats.org/officeDocument/2006/relationships/hyperlink" Target="#Capa!A1"/><Relationship Id="rId5" Type="http://schemas.openxmlformats.org/officeDocument/2006/relationships/hyperlink" Target="#'Lucro na Opera&#231;&#227;o'!A1"/><Relationship Id="rId4" Type="http://schemas.openxmlformats.org/officeDocument/2006/relationships/hyperlink" Target="#'C&#225;lculo de Taxa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Spreads!A1"/><Relationship Id="rId2" Type="http://schemas.openxmlformats.org/officeDocument/2006/relationships/hyperlink" Target="#'C&#225;lculo de Taxas'!A1"/><Relationship Id="rId1" Type="http://schemas.openxmlformats.org/officeDocument/2006/relationships/hyperlink" Target="#Capa!A1"/><Relationship Id="rId4" Type="http://schemas.openxmlformats.org/officeDocument/2006/relationships/hyperlink" Target="#'Lucro na Opera&#231;&#227;o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Spreads!A1"/><Relationship Id="rId2" Type="http://schemas.openxmlformats.org/officeDocument/2006/relationships/hyperlink" Target="#'Lucro na Opera&#231;&#227;o'!A1"/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Spreads!A1"/><Relationship Id="rId2" Type="http://schemas.openxmlformats.org/officeDocument/2006/relationships/hyperlink" Target="#'C&#225;lculo de Taxas'!A1"/><Relationship Id="rId1" Type="http://schemas.openxmlformats.org/officeDocument/2006/relationships/hyperlink" Target="#Capa!A1"/><Relationship Id="rId4" Type="http://schemas.openxmlformats.org/officeDocument/2006/relationships/hyperlink" Target="#'Lucro na Opera&#231;&#227;o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Spreads!A1"/><Relationship Id="rId2" Type="http://schemas.openxmlformats.org/officeDocument/2006/relationships/hyperlink" Target="#'C&#225;lculo de Taxas'!A1"/><Relationship Id="rId1" Type="http://schemas.openxmlformats.org/officeDocument/2006/relationships/hyperlink" Target="#Capa!A1"/><Relationship Id="rId4" Type="http://schemas.openxmlformats.org/officeDocument/2006/relationships/hyperlink" Target="#'Lucro na Opera&#231;&#227;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5</xdr:row>
      <xdr:rowOff>0</xdr:rowOff>
    </xdr:from>
    <xdr:to>
      <xdr:col>20</xdr:col>
      <xdr:colOff>314325</xdr:colOff>
      <xdr:row>7</xdr:row>
      <xdr:rowOff>76200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5B9368-4490-4378-90D3-EB0DAFFB99D0}"/>
            </a:ext>
          </a:extLst>
        </xdr:cNvPr>
        <xdr:cNvSpPr/>
      </xdr:nvSpPr>
      <xdr:spPr>
        <a:xfrm>
          <a:off x="10982325" y="1228725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18</xdr:col>
      <xdr:colOff>123825</xdr:colOff>
      <xdr:row>8</xdr:row>
      <xdr:rowOff>19050</xdr:rowOff>
    </xdr:from>
    <xdr:to>
      <xdr:col>20</xdr:col>
      <xdr:colOff>304800</xdr:colOff>
      <xdr:row>10</xdr:row>
      <xdr:rowOff>152400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CD4706-6EAA-431C-8567-B4899277BC1B}"/>
            </a:ext>
          </a:extLst>
        </xdr:cNvPr>
        <xdr:cNvSpPr/>
      </xdr:nvSpPr>
      <xdr:spPr>
        <a:xfrm>
          <a:off x="10982325" y="18764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Notícias</a:t>
          </a:r>
        </a:p>
      </xdr:txBody>
    </xdr:sp>
    <xdr:clientData/>
  </xdr:twoCellAnchor>
  <xdr:twoCellAnchor>
    <xdr:from>
      <xdr:col>18</xdr:col>
      <xdr:colOff>114300</xdr:colOff>
      <xdr:row>11</xdr:row>
      <xdr:rowOff>104775</xdr:rowOff>
    </xdr:from>
    <xdr:to>
      <xdr:col>20</xdr:col>
      <xdr:colOff>295275</xdr:colOff>
      <xdr:row>14</xdr:row>
      <xdr:rowOff>47625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E800DD-AA9B-41E9-AD81-42C4F05C59D6}"/>
            </a:ext>
          </a:extLst>
        </xdr:cNvPr>
        <xdr:cNvSpPr/>
      </xdr:nvSpPr>
      <xdr:spPr>
        <a:xfrm>
          <a:off x="10972800" y="25336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Moedas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285750</xdr:colOff>
      <xdr:row>5</xdr:row>
      <xdr:rowOff>0</xdr:rowOff>
    </xdr:from>
    <xdr:to>
      <xdr:col>18</xdr:col>
      <xdr:colOff>476250</xdr:colOff>
      <xdr:row>7</xdr:row>
      <xdr:rowOff>66675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512A70-2818-4025-AA55-1086E2F0E8A2}"/>
            </a:ext>
          </a:extLst>
        </xdr:cNvPr>
        <xdr:cNvSpPr/>
      </xdr:nvSpPr>
      <xdr:spPr>
        <a:xfrm>
          <a:off x="10039350" y="1171575"/>
          <a:ext cx="1409700" cy="5048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16</xdr:col>
      <xdr:colOff>276225</xdr:colOff>
      <xdr:row>7</xdr:row>
      <xdr:rowOff>219075</xdr:rowOff>
    </xdr:from>
    <xdr:to>
      <xdr:col>18</xdr:col>
      <xdr:colOff>457200</xdr:colOff>
      <xdr:row>9</xdr:row>
      <xdr:rowOff>238125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C4456B-B71B-4986-8B5B-7B329518A0C8}"/>
            </a:ext>
          </a:extLst>
        </xdr:cNvPr>
        <xdr:cNvSpPr/>
      </xdr:nvSpPr>
      <xdr:spPr>
        <a:xfrm>
          <a:off x="10029825" y="18288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Cálculo - Taxas</a:t>
          </a:r>
        </a:p>
      </xdr:txBody>
    </xdr:sp>
    <xdr:clientData/>
  </xdr:twoCellAnchor>
  <xdr:twoCellAnchor>
    <xdr:from>
      <xdr:col>16</xdr:col>
      <xdr:colOff>276225</xdr:colOff>
      <xdr:row>10</xdr:row>
      <xdr:rowOff>133350</xdr:rowOff>
    </xdr:from>
    <xdr:to>
      <xdr:col>18</xdr:col>
      <xdr:colOff>457200</xdr:colOff>
      <xdr:row>12</xdr:row>
      <xdr:rowOff>152400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CD26B3-0AFC-4E6D-8D8D-E676AFB6DA54}"/>
            </a:ext>
          </a:extLst>
        </xdr:cNvPr>
        <xdr:cNvSpPr/>
      </xdr:nvSpPr>
      <xdr:spPr>
        <a:xfrm>
          <a:off x="10029825" y="24860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3</xdr:row>
      <xdr:rowOff>180975</xdr:rowOff>
    </xdr:from>
    <xdr:to>
      <xdr:col>15</xdr:col>
      <xdr:colOff>476250</xdr:colOff>
      <xdr:row>6</xdr:row>
      <xdr:rowOff>57150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390A7-A0CC-4D12-8EDD-36561E7AA127}"/>
            </a:ext>
          </a:extLst>
        </xdr:cNvPr>
        <xdr:cNvSpPr/>
      </xdr:nvSpPr>
      <xdr:spPr>
        <a:xfrm>
          <a:off x="9763125" y="1162050"/>
          <a:ext cx="1409700" cy="5048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13</xdr:col>
      <xdr:colOff>285750</xdr:colOff>
      <xdr:row>6</xdr:row>
      <xdr:rowOff>228600</xdr:rowOff>
    </xdr:from>
    <xdr:to>
      <xdr:col>15</xdr:col>
      <xdr:colOff>466725</xdr:colOff>
      <xdr:row>9</xdr:row>
      <xdr:rowOff>114300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FE481A-FB37-443F-B688-478E7046D660}"/>
            </a:ext>
          </a:extLst>
        </xdr:cNvPr>
        <xdr:cNvSpPr/>
      </xdr:nvSpPr>
      <xdr:spPr>
        <a:xfrm>
          <a:off x="8601075" y="16478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Notícias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4</xdr:row>
      <xdr:rowOff>142875</xdr:rowOff>
    </xdr:from>
    <xdr:to>
      <xdr:col>6</xdr:col>
      <xdr:colOff>400050</xdr:colOff>
      <xdr:row>7</xdr:row>
      <xdr:rowOff>85725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898E15-7246-4E6B-81AB-6F655957C942}"/>
            </a:ext>
          </a:extLst>
        </xdr:cNvPr>
        <xdr:cNvSpPr/>
      </xdr:nvSpPr>
      <xdr:spPr>
        <a:xfrm>
          <a:off x="3076575" y="1123950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Bloomberg</a:t>
          </a:r>
        </a:p>
      </xdr:txBody>
    </xdr:sp>
    <xdr:clientData/>
  </xdr:twoCellAnchor>
  <xdr:twoCellAnchor>
    <xdr:from>
      <xdr:col>4</xdr:col>
      <xdr:colOff>219075</xdr:colOff>
      <xdr:row>9</xdr:row>
      <xdr:rowOff>142875</xdr:rowOff>
    </xdr:from>
    <xdr:to>
      <xdr:col>6</xdr:col>
      <xdr:colOff>400050</xdr:colOff>
      <xdr:row>12</xdr:row>
      <xdr:rowOff>85725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594273-363C-41DF-816A-2744990BEDCA}"/>
            </a:ext>
          </a:extLst>
        </xdr:cNvPr>
        <xdr:cNvSpPr/>
      </xdr:nvSpPr>
      <xdr:spPr>
        <a:xfrm>
          <a:off x="3076575" y="2076450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G1 Economia</a:t>
          </a:r>
        </a:p>
      </xdr:txBody>
    </xdr:sp>
    <xdr:clientData/>
  </xdr:twoCellAnchor>
  <xdr:twoCellAnchor>
    <xdr:from>
      <xdr:col>9</xdr:col>
      <xdr:colOff>447675</xdr:colOff>
      <xdr:row>14</xdr:row>
      <xdr:rowOff>114300</xdr:rowOff>
    </xdr:from>
    <xdr:to>
      <xdr:col>12</xdr:col>
      <xdr:colOff>19050</xdr:colOff>
      <xdr:row>17</xdr:row>
      <xdr:rowOff>57150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818BCD-F0FA-4A13-8EC5-21BC2233AA02}"/>
            </a:ext>
          </a:extLst>
        </xdr:cNvPr>
        <xdr:cNvSpPr/>
      </xdr:nvSpPr>
      <xdr:spPr>
        <a:xfrm>
          <a:off x="6353175" y="3000375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Uol Economia</a:t>
          </a:r>
        </a:p>
      </xdr:txBody>
    </xdr:sp>
    <xdr:clientData/>
  </xdr:twoCellAnchor>
  <xdr:twoCellAnchor>
    <xdr:from>
      <xdr:col>7</xdr:col>
      <xdr:colOff>38100</xdr:colOff>
      <xdr:row>14</xdr:row>
      <xdr:rowOff>114300</xdr:rowOff>
    </xdr:from>
    <xdr:to>
      <xdr:col>9</xdr:col>
      <xdr:colOff>219075</xdr:colOff>
      <xdr:row>17</xdr:row>
      <xdr:rowOff>57150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B587A9-9A85-4CA9-83CD-9A2612EAB0E1}"/>
            </a:ext>
          </a:extLst>
        </xdr:cNvPr>
        <xdr:cNvSpPr/>
      </xdr:nvSpPr>
      <xdr:spPr>
        <a:xfrm>
          <a:off x="4724400" y="3000375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Reuters</a:t>
          </a:r>
        </a:p>
      </xdr:txBody>
    </xdr:sp>
    <xdr:clientData/>
  </xdr:twoCellAnchor>
  <xdr:twoCellAnchor>
    <xdr:from>
      <xdr:col>7</xdr:col>
      <xdr:colOff>38100</xdr:colOff>
      <xdr:row>4</xdr:row>
      <xdr:rowOff>142875</xdr:rowOff>
    </xdr:from>
    <xdr:to>
      <xdr:col>9</xdr:col>
      <xdr:colOff>219075</xdr:colOff>
      <xdr:row>7</xdr:row>
      <xdr:rowOff>85725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1E2FA4-100A-4F65-9C5A-16955D6445BB}"/>
            </a:ext>
          </a:extLst>
        </xdr:cNvPr>
        <xdr:cNvSpPr/>
      </xdr:nvSpPr>
      <xdr:spPr>
        <a:xfrm>
          <a:off x="4724400" y="1123950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Bloomberg BR</a:t>
          </a:r>
        </a:p>
      </xdr:txBody>
    </xdr:sp>
    <xdr:clientData/>
  </xdr:twoCellAnchor>
  <xdr:twoCellAnchor>
    <xdr:from>
      <xdr:col>12</xdr:col>
      <xdr:colOff>238125</xdr:colOff>
      <xdr:row>14</xdr:row>
      <xdr:rowOff>104775</xdr:rowOff>
    </xdr:from>
    <xdr:to>
      <xdr:col>14</xdr:col>
      <xdr:colOff>419100</xdr:colOff>
      <xdr:row>17</xdr:row>
      <xdr:rowOff>47625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04CC5DE-51B9-4637-ABD7-F0F5906D7170}"/>
            </a:ext>
          </a:extLst>
        </xdr:cNvPr>
        <xdr:cNvSpPr/>
      </xdr:nvSpPr>
      <xdr:spPr>
        <a:xfrm>
          <a:off x="7972425" y="2990850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WSJ</a:t>
          </a:r>
        </a:p>
      </xdr:txBody>
    </xdr:sp>
    <xdr:clientData/>
  </xdr:twoCellAnchor>
  <xdr:twoCellAnchor>
    <xdr:from>
      <xdr:col>9</xdr:col>
      <xdr:colOff>447675</xdr:colOff>
      <xdr:row>4</xdr:row>
      <xdr:rowOff>142875</xdr:rowOff>
    </xdr:from>
    <xdr:to>
      <xdr:col>12</xdr:col>
      <xdr:colOff>19050</xdr:colOff>
      <xdr:row>7</xdr:row>
      <xdr:rowOff>85725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D293E4B-FCD7-444A-AAD9-1A2A23DD9285}"/>
            </a:ext>
          </a:extLst>
        </xdr:cNvPr>
        <xdr:cNvSpPr/>
      </xdr:nvSpPr>
      <xdr:spPr>
        <a:xfrm>
          <a:off x="6353175" y="1123950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El Financiero</a:t>
          </a:r>
        </a:p>
      </xdr:txBody>
    </xdr:sp>
    <xdr:clientData/>
  </xdr:twoCellAnchor>
  <xdr:twoCellAnchor>
    <xdr:from>
      <xdr:col>12</xdr:col>
      <xdr:colOff>238125</xdr:colOff>
      <xdr:row>9</xdr:row>
      <xdr:rowOff>114300</xdr:rowOff>
    </xdr:from>
    <xdr:to>
      <xdr:col>14</xdr:col>
      <xdr:colOff>419100</xdr:colOff>
      <xdr:row>12</xdr:row>
      <xdr:rowOff>57150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3E5233D-56E8-4EF9-B3C1-31FE43796BAA}"/>
            </a:ext>
          </a:extLst>
        </xdr:cNvPr>
        <xdr:cNvSpPr/>
      </xdr:nvSpPr>
      <xdr:spPr>
        <a:xfrm>
          <a:off x="7972425" y="2047875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Le Monde</a:t>
          </a:r>
        </a:p>
      </xdr:txBody>
    </xdr:sp>
    <xdr:clientData/>
  </xdr:twoCellAnchor>
  <xdr:twoCellAnchor>
    <xdr:from>
      <xdr:col>9</xdr:col>
      <xdr:colOff>447675</xdr:colOff>
      <xdr:row>9</xdr:row>
      <xdr:rowOff>123825</xdr:rowOff>
    </xdr:from>
    <xdr:to>
      <xdr:col>12</xdr:col>
      <xdr:colOff>19050</xdr:colOff>
      <xdr:row>12</xdr:row>
      <xdr:rowOff>66675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E894128-F05B-4DB6-A7F0-0945BAC95C71}"/>
            </a:ext>
          </a:extLst>
        </xdr:cNvPr>
        <xdr:cNvSpPr/>
      </xdr:nvSpPr>
      <xdr:spPr>
        <a:xfrm>
          <a:off x="6353175" y="2057400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Infomoney</a:t>
          </a:r>
        </a:p>
      </xdr:txBody>
    </xdr:sp>
    <xdr:clientData/>
  </xdr:twoCellAnchor>
  <xdr:twoCellAnchor>
    <xdr:from>
      <xdr:col>4</xdr:col>
      <xdr:colOff>219075</xdr:colOff>
      <xdr:row>14</xdr:row>
      <xdr:rowOff>114300</xdr:rowOff>
    </xdr:from>
    <xdr:to>
      <xdr:col>6</xdr:col>
      <xdr:colOff>400050</xdr:colOff>
      <xdr:row>17</xdr:row>
      <xdr:rowOff>57150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2890B18-CB0E-41D7-BF7B-C621685E4695}"/>
            </a:ext>
          </a:extLst>
        </xdr:cNvPr>
        <xdr:cNvSpPr/>
      </xdr:nvSpPr>
      <xdr:spPr>
        <a:xfrm>
          <a:off x="3076575" y="3000375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NY Times</a:t>
          </a:r>
        </a:p>
      </xdr:txBody>
    </xdr:sp>
    <xdr:clientData/>
  </xdr:twoCellAnchor>
  <xdr:twoCellAnchor>
    <xdr:from>
      <xdr:col>7</xdr:col>
      <xdr:colOff>38100</xdr:colOff>
      <xdr:row>9</xdr:row>
      <xdr:rowOff>133350</xdr:rowOff>
    </xdr:from>
    <xdr:to>
      <xdr:col>9</xdr:col>
      <xdr:colOff>219075</xdr:colOff>
      <xdr:row>12</xdr:row>
      <xdr:rowOff>76200</xdr:rowOff>
    </xdr:to>
    <xdr:sp macro="" textlink="">
      <xdr:nvSpPr>
        <xdr:cNvPr id="13" name="Retângulo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517F614-C197-47ED-9BE5-81758408EF86}"/>
            </a:ext>
          </a:extLst>
        </xdr:cNvPr>
        <xdr:cNvSpPr/>
      </xdr:nvSpPr>
      <xdr:spPr>
        <a:xfrm>
          <a:off x="4724400" y="2066925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Globo</a:t>
          </a:r>
        </a:p>
      </xdr:txBody>
    </xdr:sp>
    <xdr:clientData/>
  </xdr:twoCellAnchor>
  <xdr:twoCellAnchor>
    <xdr:from>
      <xdr:col>12</xdr:col>
      <xdr:colOff>238125</xdr:colOff>
      <xdr:row>4</xdr:row>
      <xdr:rowOff>133350</xdr:rowOff>
    </xdr:from>
    <xdr:to>
      <xdr:col>14</xdr:col>
      <xdr:colOff>419100</xdr:colOff>
      <xdr:row>7</xdr:row>
      <xdr:rowOff>76200</xdr:rowOff>
    </xdr:to>
    <xdr:sp macro="" textlink="">
      <xdr:nvSpPr>
        <xdr:cNvPr id="14" name="Retângulo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96DE852-39CA-423A-8E74-2D543E2825F2}"/>
            </a:ext>
          </a:extLst>
        </xdr:cNvPr>
        <xdr:cNvSpPr/>
      </xdr:nvSpPr>
      <xdr:spPr>
        <a:xfrm>
          <a:off x="7972425" y="1114425"/>
          <a:ext cx="1400175" cy="514350"/>
        </a:xfrm>
        <a:prstGeom prst="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Financial Times</a:t>
          </a:r>
        </a:p>
      </xdr:txBody>
    </xdr:sp>
    <xdr:clientData/>
  </xdr:twoCellAnchor>
  <xdr:twoCellAnchor>
    <xdr:from>
      <xdr:col>15</xdr:col>
      <xdr:colOff>276225</xdr:colOff>
      <xdr:row>4</xdr:row>
      <xdr:rowOff>152400</xdr:rowOff>
    </xdr:from>
    <xdr:to>
      <xdr:col>17</xdr:col>
      <xdr:colOff>466725</xdr:colOff>
      <xdr:row>7</xdr:row>
      <xdr:rowOff>85725</xdr:rowOff>
    </xdr:to>
    <xdr:sp macro="" textlink="">
      <xdr:nvSpPr>
        <xdr:cNvPr id="15" name="Retângulo: Cantos Arredondados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C04F286-F846-4049-9EF8-52DA8E651BA0}"/>
            </a:ext>
          </a:extLst>
        </xdr:cNvPr>
        <xdr:cNvSpPr/>
      </xdr:nvSpPr>
      <xdr:spPr>
        <a:xfrm>
          <a:off x="9839325" y="1133475"/>
          <a:ext cx="1409700" cy="5048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15</xdr:col>
      <xdr:colOff>276225</xdr:colOff>
      <xdr:row>8</xdr:row>
      <xdr:rowOff>66675</xdr:rowOff>
    </xdr:from>
    <xdr:to>
      <xdr:col>17</xdr:col>
      <xdr:colOff>457200</xdr:colOff>
      <xdr:row>11</xdr:row>
      <xdr:rowOff>9525</xdr:rowOff>
    </xdr:to>
    <xdr:sp macro="" textlink="">
      <xdr:nvSpPr>
        <xdr:cNvPr id="16" name="Retângulo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0D9C4B6-4FFD-4A2F-8C33-465C112CCBD0}"/>
            </a:ext>
          </a:extLst>
        </xdr:cNvPr>
        <xdr:cNvSpPr/>
      </xdr:nvSpPr>
      <xdr:spPr>
        <a:xfrm>
          <a:off x="9839325" y="18097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Moedas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4</xdr:row>
      <xdr:rowOff>0</xdr:rowOff>
    </xdr:from>
    <xdr:to>
      <xdr:col>18</xdr:col>
      <xdr:colOff>438150</xdr:colOff>
      <xdr:row>6</xdr:row>
      <xdr:rowOff>104775</xdr:rowOff>
    </xdr:to>
    <xdr:sp macro="" textlink="">
      <xdr:nvSpPr>
        <xdr:cNvPr id="7" name="Retângulo: Cantos Arredondado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E71408-02C4-49FD-942D-08C91BFE0D12}"/>
            </a:ext>
          </a:extLst>
        </xdr:cNvPr>
        <xdr:cNvSpPr/>
      </xdr:nvSpPr>
      <xdr:spPr>
        <a:xfrm>
          <a:off x="10915650" y="981075"/>
          <a:ext cx="1409700" cy="5048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16</xdr:col>
      <xdr:colOff>257175</xdr:colOff>
      <xdr:row>7</xdr:row>
      <xdr:rowOff>76200</xdr:rowOff>
    </xdr:from>
    <xdr:to>
      <xdr:col>18</xdr:col>
      <xdr:colOff>438150</xdr:colOff>
      <xdr:row>10</xdr:row>
      <xdr:rowOff>0</xdr:rowOff>
    </xdr:to>
    <xdr:sp macro="" textlink="">
      <xdr:nvSpPr>
        <xdr:cNvPr id="8" name="Retângul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1A3920-08D9-4639-9CAC-1D08FC194344}"/>
            </a:ext>
          </a:extLst>
        </xdr:cNvPr>
        <xdr:cNvSpPr/>
      </xdr:nvSpPr>
      <xdr:spPr>
        <a:xfrm>
          <a:off x="10925175" y="16573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Cálculo - Taxas</a:t>
          </a:r>
        </a:p>
      </xdr:txBody>
    </xdr:sp>
    <xdr:clientData/>
  </xdr:twoCellAnchor>
  <xdr:twoCellAnchor>
    <xdr:from>
      <xdr:col>16</xdr:col>
      <xdr:colOff>247650</xdr:colOff>
      <xdr:row>10</xdr:row>
      <xdr:rowOff>152400</xdr:rowOff>
    </xdr:from>
    <xdr:to>
      <xdr:col>18</xdr:col>
      <xdr:colOff>428625</xdr:colOff>
      <xdr:row>13</xdr:row>
      <xdr:rowOff>76200</xdr:rowOff>
    </xdr:to>
    <xdr:sp macro="" textlink="">
      <xdr:nvSpPr>
        <xdr:cNvPr id="10" name="Retângulo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756161D-7481-40EE-9415-F6C10CFCB599}"/>
            </a:ext>
          </a:extLst>
        </xdr:cNvPr>
        <xdr:cNvSpPr/>
      </xdr:nvSpPr>
      <xdr:spPr>
        <a:xfrm>
          <a:off x="10915650" y="23241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Porcentagem</a:t>
          </a:r>
        </a:p>
      </xdr:txBody>
    </xdr:sp>
    <xdr:clientData/>
  </xdr:twoCellAnchor>
  <xdr:twoCellAnchor>
    <xdr:from>
      <xdr:col>16</xdr:col>
      <xdr:colOff>257175</xdr:colOff>
      <xdr:row>14</xdr:row>
      <xdr:rowOff>38100</xdr:rowOff>
    </xdr:from>
    <xdr:to>
      <xdr:col>18</xdr:col>
      <xdr:colOff>438150</xdr:colOff>
      <xdr:row>16</xdr:row>
      <xdr:rowOff>161925</xdr:rowOff>
    </xdr:to>
    <xdr:sp macro="" textlink="">
      <xdr:nvSpPr>
        <xdr:cNvPr id="11" name="Retângul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1458DE-9367-433F-8D61-6A84EE3BF008}"/>
            </a:ext>
          </a:extLst>
        </xdr:cNvPr>
        <xdr:cNvSpPr/>
      </xdr:nvSpPr>
      <xdr:spPr>
        <a:xfrm>
          <a:off x="10925175" y="300037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  <xdr:twoCellAnchor>
    <xdr:from>
      <xdr:col>16</xdr:col>
      <xdr:colOff>247650</xdr:colOff>
      <xdr:row>17</xdr:row>
      <xdr:rowOff>114300</xdr:rowOff>
    </xdr:from>
    <xdr:to>
      <xdr:col>18</xdr:col>
      <xdr:colOff>428625</xdr:colOff>
      <xdr:row>20</xdr:row>
      <xdr:rowOff>38100</xdr:rowOff>
    </xdr:to>
    <xdr:sp macro="" textlink="">
      <xdr:nvSpPr>
        <xdr:cNvPr id="12" name="Retângul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C4AF1B-B0E4-476A-ACCA-985569EE247A}"/>
            </a:ext>
          </a:extLst>
        </xdr:cNvPr>
        <xdr:cNvSpPr/>
      </xdr:nvSpPr>
      <xdr:spPr>
        <a:xfrm>
          <a:off x="10915650" y="36671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3</xdr:row>
      <xdr:rowOff>180975</xdr:rowOff>
    </xdr:from>
    <xdr:to>
      <xdr:col>12</xdr:col>
      <xdr:colOff>514350</xdr:colOff>
      <xdr:row>6</xdr:row>
      <xdr:rowOff>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556D1-F234-4DFC-8871-EF7E699D2969}"/>
            </a:ext>
          </a:extLst>
        </xdr:cNvPr>
        <xdr:cNvSpPr/>
      </xdr:nvSpPr>
      <xdr:spPr>
        <a:xfrm>
          <a:off x="9972675" y="1162050"/>
          <a:ext cx="1409700" cy="5048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10</xdr:col>
      <xdr:colOff>333375</xdr:colOff>
      <xdr:row>6</xdr:row>
      <xdr:rowOff>152400</xdr:rowOff>
    </xdr:from>
    <xdr:to>
      <xdr:col>12</xdr:col>
      <xdr:colOff>514350</xdr:colOff>
      <xdr:row>8</xdr:row>
      <xdr:rowOff>171450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2E4273C-F616-4DE9-AFF7-CC9777580776}"/>
            </a:ext>
          </a:extLst>
        </xdr:cNvPr>
        <xdr:cNvSpPr/>
      </xdr:nvSpPr>
      <xdr:spPr>
        <a:xfrm>
          <a:off x="9982200" y="162877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Moedas</a:t>
          </a:r>
        </a:p>
      </xdr:txBody>
    </xdr:sp>
    <xdr:clientData/>
  </xdr:twoCellAnchor>
  <xdr:twoCellAnchor>
    <xdr:from>
      <xdr:col>10</xdr:col>
      <xdr:colOff>333375</xdr:colOff>
      <xdr:row>9</xdr:row>
      <xdr:rowOff>76200</xdr:rowOff>
    </xdr:from>
    <xdr:to>
      <xdr:col>12</xdr:col>
      <xdr:colOff>514350</xdr:colOff>
      <xdr:row>11</xdr:row>
      <xdr:rowOff>95250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98B126-5C23-4E71-903F-CA6E927930C8}"/>
            </a:ext>
          </a:extLst>
        </xdr:cNvPr>
        <xdr:cNvSpPr/>
      </xdr:nvSpPr>
      <xdr:spPr>
        <a:xfrm>
          <a:off x="9982200" y="22955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Notícias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3</xdr:row>
      <xdr:rowOff>180975</xdr:rowOff>
    </xdr:from>
    <xdr:to>
      <xdr:col>16</xdr:col>
      <xdr:colOff>28575</xdr:colOff>
      <xdr:row>6</xdr:row>
      <xdr:rowOff>114300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EF2AD2-0318-49FA-B8CD-40B689ED7B27}"/>
            </a:ext>
          </a:extLst>
        </xdr:cNvPr>
        <xdr:cNvSpPr/>
      </xdr:nvSpPr>
      <xdr:spPr>
        <a:xfrm>
          <a:off x="8791575" y="971550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13</xdr:col>
      <xdr:colOff>447675</xdr:colOff>
      <xdr:row>7</xdr:row>
      <xdr:rowOff>66675</xdr:rowOff>
    </xdr:from>
    <xdr:to>
      <xdr:col>16</xdr:col>
      <xdr:colOff>19050</xdr:colOff>
      <xdr:row>9</xdr:row>
      <xdr:rowOff>180975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617DD2-ABD2-40F7-B831-2CF50CA34B86}"/>
            </a:ext>
          </a:extLst>
        </xdr:cNvPr>
        <xdr:cNvSpPr/>
      </xdr:nvSpPr>
      <xdr:spPr>
        <a:xfrm>
          <a:off x="8791575" y="16383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Cálculo - Taxas</a:t>
          </a:r>
        </a:p>
      </xdr:txBody>
    </xdr:sp>
    <xdr:clientData/>
  </xdr:twoCellAnchor>
  <xdr:twoCellAnchor>
    <xdr:from>
      <xdr:col>13</xdr:col>
      <xdr:colOff>447675</xdr:colOff>
      <xdr:row>10</xdr:row>
      <xdr:rowOff>142875</xdr:rowOff>
    </xdr:from>
    <xdr:to>
      <xdr:col>16</xdr:col>
      <xdr:colOff>19050</xdr:colOff>
      <xdr:row>14</xdr:row>
      <xdr:rowOff>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761025-6BEA-4C2E-B410-492FD5B32903}"/>
            </a:ext>
          </a:extLst>
        </xdr:cNvPr>
        <xdr:cNvSpPr/>
      </xdr:nvSpPr>
      <xdr:spPr>
        <a:xfrm>
          <a:off x="8791575" y="2305050"/>
          <a:ext cx="1400175" cy="64770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Operações Matemáticas</a:t>
          </a:r>
        </a:p>
      </xdr:txBody>
    </xdr:sp>
    <xdr:clientData/>
  </xdr:twoCellAnchor>
  <xdr:twoCellAnchor>
    <xdr:from>
      <xdr:col>13</xdr:col>
      <xdr:colOff>438150</xdr:colOff>
      <xdr:row>14</xdr:row>
      <xdr:rowOff>152400</xdr:rowOff>
    </xdr:from>
    <xdr:to>
      <xdr:col>16</xdr:col>
      <xdr:colOff>9525</xdr:colOff>
      <xdr:row>17</xdr:row>
      <xdr:rowOff>76200</xdr:rowOff>
    </xdr:to>
    <xdr:sp macro="" textlink="">
      <xdr:nvSpPr>
        <xdr:cNvPr id="7" name="Retângul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4081E9-1100-483B-8589-6C023A71554F}"/>
            </a:ext>
          </a:extLst>
        </xdr:cNvPr>
        <xdr:cNvSpPr/>
      </xdr:nvSpPr>
      <xdr:spPr>
        <a:xfrm>
          <a:off x="8782050" y="31051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  <xdr:twoCellAnchor>
    <xdr:from>
      <xdr:col>13</xdr:col>
      <xdr:colOff>428625</xdr:colOff>
      <xdr:row>18</xdr:row>
      <xdr:rowOff>38100</xdr:rowOff>
    </xdr:from>
    <xdr:to>
      <xdr:col>16</xdr:col>
      <xdr:colOff>0</xdr:colOff>
      <xdr:row>20</xdr:row>
      <xdr:rowOff>152400</xdr:rowOff>
    </xdr:to>
    <xdr:sp macro="" textlink="">
      <xdr:nvSpPr>
        <xdr:cNvPr id="8" name="Retângulo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39F3F5-DAB3-4C2F-B5D9-371D6CA2AACF}"/>
            </a:ext>
          </a:extLst>
        </xdr:cNvPr>
        <xdr:cNvSpPr/>
      </xdr:nvSpPr>
      <xdr:spPr>
        <a:xfrm>
          <a:off x="8772525" y="37719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4</xdr:row>
      <xdr:rowOff>180975</xdr:rowOff>
    </xdr:from>
    <xdr:to>
      <xdr:col>15</xdr:col>
      <xdr:colOff>466725</xdr:colOff>
      <xdr:row>6</xdr:row>
      <xdr:rowOff>171450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DDE5C1-3B37-42FA-A9F3-DF93B77B0663}"/>
            </a:ext>
          </a:extLst>
        </xdr:cNvPr>
        <xdr:cNvSpPr/>
      </xdr:nvSpPr>
      <xdr:spPr>
        <a:xfrm>
          <a:off x="10582275" y="1352550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13</xdr:col>
      <xdr:colOff>276225</xdr:colOff>
      <xdr:row>7</xdr:row>
      <xdr:rowOff>142875</xdr:rowOff>
    </xdr:from>
    <xdr:to>
      <xdr:col>15</xdr:col>
      <xdr:colOff>457200</xdr:colOff>
      <xdr:row>9</xdr:row>
      <xdr:rowOff>66675</xdr:rowOff>
    </xdr:to>
    <xdr:sp macro="" textlink="">
      <xdr:nvSpPr>
        <xdr:cNvPr id="6" name="Retângul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2D7FFF-85A4-4019-954D-3A3F28603167}"/>
            </a:ext>
          </a:extLst>
        </xdr:cNvPr>
        <xdr:cNvSpPr/>
      </xdr:nvSpPr>
      <xdr:spPr>
        <a:xfrm>
          <a:off x="8753475" y="18383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CDI (-)</a:t>
          </a:r>
        </a:p>
      </xdr:txBody>
    </xdr:sp>
    <xdr:clientData/>
  </xdr:twoCellAnchor>
  <xdr:twoCellAnchor>
    <xdr:from>
      <xdr:col>13</xdr:col>
      <xdr:colOff>266700</xdr:colOff>
      <xdr:row>9</xdr:row>
      <xdr:rowOff>228600</xdr:rowOff>
    </xdr:from>
    <xdr:to>
      <xdr:col>15</xdr:col>
      <xdr:colOff>447675</xdr:colOff>
      <xdr:row>10</xdr:row>
      <xdr:rowOff>342900</xdr:rowOff>
    </xdr:to>
    <xdr:sp macro="" textlink="">
      <xdr:nvSpPr>
        <xdr:cNvPr id="7" name="Retângul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E671A3A-CF26-447D-A38C-F20ECBF024F2}"/>
            </a:ext>
          </a:extLst>
        </xdr:cNvPr>
        <xdr:cNvSpPr/>
      </xdr:nvSpPr>
      <xdr:spPr>
        <a:xfrm>
          <a:off x="8991600" y="25146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  <xdr:twoCellAnchor>
    <xdr:from>
      <xdr:col>13</xdr:col>
      <xdr:colOff>257175</xdr:colOff>
      <xdr:row>11</xdr:row>
      <xdr:rowOff>95250</xdr:rowOff>
    </xdr:from>
    <xdr:to>
      <xdr:col>15</xdr:col>
      <xdr:colOff>438150</xdr:colOff>
      <xdr:row>13</xdr:row>
      <xdr:rowOff>19050</xdr:rowOff>
    </xdr:to>
    <xdr:sp macro="" textlink="">
      <xdr:nvSpPr>
        <xdr:cNvPr id="8" name="Retâ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B8459E-D942-4166-A6DB-997CF8F7633A}"/>
            </a:ext>
          </a:extLst>
        </xdr:cNvPr>
        <xdr:cNvSpPr/>
      </xdr:nvSpPr>
      <xdr:spPr>
        <a:xfrm>
          <a:off x="8982075" y="31813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4</xdr:row>
      <xdr:rowOff>180975</xdr:rowOff>
    </xdr:from>
    <xdr:to>
      <xdr:col>15</xdr:col>
      <xdr:colOff>485775</xdr:colOff>
      <xdr:row>6</xdr:row>
      <xdr:rowOff>171450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B2DBC4-393B-4E76-88DB-085880163D40}"/>
            </a:ext>
          </a:extLst>
        </xdr:cNvPr>
        <xdr:cNvSpPr/>
      </xdr:nvSpPr>
      <xdr:spPr>
        <a:xfrm>
          <a:off x="8772525" y="1352550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13</xdr:col>
      <xdr:colOff>285750</xdr:colOff>
      <xdr:row>7</xdr:row>
      <xdr:rowOff>142875</xdr:rowOff>
    </xdr:from>
    <xdr:to>
      <xdr:col>15</xdr:col>
      <xdr:colOff>466725</xdr:colOff>
      <xdr:row>9</xdr:row>
      <xdr:rowOff>66675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B7C174-0B1D-40F3-B2BC-4D049BAE8B17}"/>
            </a:ext>
          </a:extLst>
        </xdr:cNvPr>
        <xdr:cNvSpPr/>
      </xdr:nvSpPr>
      <xdr:spPr>
        <a:xfrm>
          <a:off x="8763000" y="18383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CDI (+)</a:t>
          </a:r>
        </a:p>
      </xdr:txBody>
    </xdr:sp>
    <xdr:clientData/>
  </xdr:twoCellAnchor>
  <xdr:twoCellAnchor>
    <xdr:from>
      <xdr:col>13</xdr:col>
      <xdr:colOff>295275</xdr:colOff>
      <xdr:row>9</xdr:row>
      <xdr:rowOff>257175</xdr:rowOff>
    </xdr:from>
    <xdr:to>
      <xdr:col>15</xdr:col>
      <xdr:colOff>476250</xdr:colOff>
      <xdr:row>10</xdr:row>
      <xdr:rowOff>371475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576094-6529-4796-AC36-E91251BB98F8}"/>
            </a:ext>
          </a:extLst>
        </xdr:cNvPr>
        <xdr:cNvSpPr/>
      </xdr:nvSpPr>
      <xdr:spPr>
        <a:xfrm>
          <a:off x="9020175" y="254317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  <xdr:twoCellAnchor>
    <xdr:from>
      <xdr:col>13</xdr:col>
      <xdr:colOff>285750</xdr:colOff>
      <xdr:row>11</xdr:row>
      <xdr:rowOff>123825</xdr:rowOff>
    </xdr:from>
    <xdr:to>
      <xdr:col>15</xdr:col>
      <xdr:colOff>466725</xdr:colOff>
      <xdr:row>13</xdr:row>
      <xdr:rowOff>47625</xdr:rowOff>
    </xdr:to>
    <xdr:sp macro="" textlink="">
      <xdr:nvSpPr>
        <xdr:cNvPr id="7" name="Retângul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F043F3-7B53-4D0E-82C5-2A7C8780D91E}"/>
            </a:ext>
          </a:extLst>
        </xdr:cNvPr>
        <xdr:cNvSpPr/>
      </xdr:nvSpPr>
      <xdr:spPr>
        <a:xfrm>
          <a:off x="9010650" y="32099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4</xdr:row>
      <xdr:rowOff>180975</xdr:rowOff>
    </xdr:from>
    <xdr:to>
      <xdr:col>12</xdr:col>
      <xdr:colOff>28575</xdr:colOff>
      <xdr:row>6</xdr:row>
      <xdr:rowOff>95250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4B592D-E2C7-42E5-B2A7-96E229952E48}"/>
            </a:ext>
          </a:extLst>
        </xdr:cNvPr>
        <xdr:cNvSpPr/>
      </xdr:nvSpPr>
      <xdr:spPr>
        <a:xfrm>
          <a:off x="8048625" y="1543050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10</xdr:col>
      <xdr:colOff>19050</xdr:colOff>
      <xdr:row>8</xdr:row>
      <xdr:rowOff>142875</xdr:rowOff>
    </xdr:from>
    <xdr:to>
      <xdr:col>12</xdr:col>
      <xdr:colOff>0</xdr:colOff>
      <xdr:row>9</xdr:row>
      <xdr:rowOff>247650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C93D77-3077-4CB4-9F6B-0D2AB637965E}"/>
            </a:ext>
          </a:extLst>
        </xdr:cNvPr>
        <xdr:cNvSpPr/>
      </xdr:nvSpPr>
      <xdr:spPr>
        <a:xfrm>
          <a:off x="8591550" y="2543175"/>
          <a:ext cx="1409700" cy="51435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Moeda B</a:t>
          </a:r>
        </a:p>
      </xdr:txBody>
    </xdr:sp>
    <xdr:clientData/>
  </xdr:twoCellAnchor>
  <xdr:twoCellAnchor>
    <xdr:from>
      <xdr:col>10</xdr:col>
      <xdr:colOff>38100</xdr:colOff>
      <xdr:row>6</xdr:row>
      <xdr:rowOff>276225</xdr:rowOff>
    </xdr:from>
    <xdr:to>
      <xdr:col>12</xdr:col>
      <xdr:colOff>19050</xdr:colOff>
      <xdr:row>7</xdr:row>
      <xdr:rowOff>381000</xdr:rowOff>
    </xdr:to>
    <xdr:sp macro="" textlink="">
      <xdr:nvSpPr>
        <xdr:cNvPr id="6" name="Retângulo: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845BAC3-B49D-429E-A625-2B940D0BA442}"/>
            </a:ext>
          </a:extLst>
        </xdr:cNvPr>
        <xdr:cNvSpPr/>
      </xdr:nvSpPr>
      <xdr:spPr>
        <a:xfrm>
          <a:off x="8610600" y="1857375"/>
          <a:ext cx="1409700" cy="51435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Moeda 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3</xdr:row>
      <xdr:rowOff>171450</xdr:rowOff>
    </xdr:from>
    <xdr:to>
      <xdr:col>11</xdr:col>
      <xdr:colOff>457200</xdr:colOff>
      <xdr:row>5</xdr:row>
      <xdr:rowOff>238125</xdr:rowOff>
    </xdr:to>
    <xdr:sp macro="" textlink="">
      <xdr:nvSpPr>
        <xdr:cNvPr id="5" name="Retângulo: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D064CA-7B4E-40B4-BC60-302FADBBF698}"/>
            </a:ext>
          </a:extLst>
        </xdr:cNvPr>
        <xdr:cNvSpPr/>
      </xdr:nvSpPr>
      <xdr:spPr>
        <a:xfrm>
          <a:off x="7267575" y="962025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10</xdr:col>
      <xdr:colOff>228600</xdr:colOff>
      <xdr:row>6</xdr:row>
      <xdr:rowOff>152400</xdr:rowOff>
    </xdr:from>
    <xdr:to>
      <xdr:col>11</xdr:col>
      <xdr:colOff>457200</xdr:colOff>
      <xdr:row>8</xdr:row>
      <xdr:rowOff>171450</xdr:rowOff>
    </xdr:to>
    <xdr:sp macro="" textlink="">
      <xdr:nvSpPr>
        <xdr:cNvPr id="6" name="Retângul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C0D3C6-C12A-4FDF-89F2-83998E55BDCE}"/>
            </a:ext>
          </a:extLst>
        </xdr:cNvPr>
        <xdr:cNvSpPr/>
      </xdr:nvSpPr>
      <xdr:spPr>
        <a:xfrm>
          <a:off x="7277100" y="16383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Trava</a:t>
          </a:r>
        </a:p>
      </xdr:txBody>
    </xdr:sp>
    <xdr:clientData/>
  </xdr:twoCellAnchor>
  <xdr:twoCellAnchor>
    <xdr:from>
      <xdr:col>10</xdr:col>
      <xdr:colOff>228600</xdr:colOff>
      <xdr:row>9</xdr:row>
      <xdr:rowOff>76200</xdr:rowOff>
    </xdr:from>
    <xdr:to>
      <xdr:col>11</xdr:col>
      <xdr:colOff>457200</xdr:colOff>
      <xdr:row>11</xdr:row>
      <xdr:rowOff>95250</xdr:rowOff>
    </xdr:to>
    <xdr:sp macro="" textlink="">
      <xdr:nvSpPr>
        <xdr:cNvPr id="7" name="Retângul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C4C137-FD46-4670-863A-2D2E6AA87260}"/>
            </a:ext>
          </a:extLst>
        </xdr:cNvPr>
        <xdr:cNvSpPr/>
      </xdr:nvSpPr>
      <xdr:spPr>
        <a:xfrm>
          <a:off x="7277100" y="23050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  <xdr:twoCellAnchor>
    <xdr:from>
      <xdr:col>10</xdr:col>
      <xdr:colOff>219075</xdr:colOff>
      <xdr:row>12</xdr:row>
      <xdr:rowOff>0</xdr:rowOff>
    </xdr:from>
    <xdr:to>
      <xdr:col>11</xdr:col>
      <xdr:colOff>447675</xdr:colOff>
      <xdr:row>14</xdr:row>
      <xdr:rowOff>19050</xdr:rowOff>
    </xdr:to>
    <xdr:sp macro="" textlink="">
      <xdr:nvSpPr>
        <xdr:cNvPr id="8" name="Retâ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62A2C1-6CD9-4B45-A79E-CA15D7F07435}"/>
            </a:ext>
          </a:extLst>
        </xdr:cNvPr>
        <xdr:cNvSpPr/>
      </xdr:nvSpPr>
      <xdr:spPr>
        <a:xfrm>
          <a:off x="7267575" y="29718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361950</xdr:colOff>
      <xdr:row>3</xdr:row>
      <xdr:rowOff>180975</xdr:rowOff>
    </xdr:from>
    <xdr:to>
      <xdr:col>17</xdr:col>
      <xdr:colOff>552450</xdr:colOff>
      <xdr:row>6</xdr:row>
      <xdr:rowOff>104775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EEB61A-A8F2-45E5-A9F2-D228B5C0C0EB}"/>
            </a:ext>
          </a:extLst>
        </xdr:cNvPr>
        <xdr:cNvSpPr/>
      </xdr:nvSpPr>
      <xdr:spPr>
        <a:xfrm>
          <a:off x="9925050" y="971550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15</xdr:col>
      <xdr:colOff>381000</xdr:colOff>
      <xdr:row>7</xdr:row>
      <xdr:rowOff>57150</xdr:rowOff>
    </xdr:from>
    <xdr:to>
      <xdr:col>17</xdr:col>
      <xdr:colOff>561975</xdr:colOff>
      <xdr:row>9</xdr:row>
      <xdr:rowOff>180975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1AAFF-B285-4E8E-9165-2487F3350A5F}"/>
            </a:ext>
          </a:extLst>
        </xdr:cNvPr>
        <xdr:cNvSpPr/>
      </xdr:nvSpPr>
      <xdr:spPr>
        <a:xfrm>
          <a:off x="9944100" y="16383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Porcentagem</a:t>
          </a:r>
        </a:p>
      </xdr:txBody>
    </xdr:sp>
    <xdr:clientData/>
  </xdr:twoCellAnchor>
  <xdr:twoCellAnchor>
    <xdr:from>
      <xdr:col>15</xdr:col>
      <xdr:colOff>381000</xdr:colOff>
      <xdr:row>10</xdr:row>
      <xdr:rowOff>133350</xdr:rowOff>
    </xdr:from>
    <xdr:to>
      <xdr:col>17</xdr:col>
      <xdr:colOff>561975</xdr:colOff>
      <xdr:row>13</xdr:row>
      <xdr:rowOff>190500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FF08DE-02A1-436D-B615-79B24B8935F7}"/>
            </a:ext>
          </a:extLst>
        </xdr:cNvPr>
        <xdr:cNvSpPr/>
      </xdr:nvSpPr>
      <xdr:spPr>
        <a:xfrm>
          <a:off x="9944100" y="2305050"/>
          <a:ext cx="1400175" cy="64770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Operações Matemáticas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4</xdr:row>
      <xdr:rowOff>9525</xdr:rowOff>
    </xdr:from>
    <xdr:to>
      <xdr:col>15</xdr:col>
      <xdr:colOff>333375</xdr:colOff>
      <xdr:row>6</xdr:row>
      <xdr:rowOff>28575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E1FE4-C45A-4AB2-B1E4-526FA6A8A284}"/>
            </a:ext>
          </a:extLst>
        </xdr:cNvPr>
        <xdr:cNvSpPr/>
      </xdr:nvSpPr>
      <xdr:spPr>
        <a:xfrm>
          <a:off x="8924925" y="1047750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13</xdr:col>
      <xdr:colOff>238125</xdr:colOff>
      <xdr:row>9</xdr:row>
      <xdr:rowOff>180975</xdr:rowOff>
    </xdr:from>
    <xdr:to>
      <xdr:col>15</xdr:col>
      <xdr:colOff>314325</xdr:colOff>
      <xdr:row>12</xdr:row>
      <xdr:rowOff>66675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DDA85E-4FB1-4241-A242-4E506A1E0354}"/>
            </a:ext>
          </a:extLst>
        </xdr:cNvPr>
        <xdr:cNvSpPr/>
      </xdr:nvSpPr>
      <xdr:spPr>
        <a:xfrm>
          <a:off x="8905875" y="2400300"/>
          <a:ext cx="1409700" cy="51435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Moeda B</a:t>
          </a:r>
        </a:p>
      </xdr:txBody>
    </xdr:sp>
    <xdr:clientData/>
  </xdr:twoCellAnchor>
  <xdr:twoCellAnchor>
    <xdr:from>
      <xdr:col>13</xdr:col>
      <xdr:colOff>238125</xdr:colOff>
      <xdr:row>6</xdr:row>
      <xdr:rowOff>180975</xdr:rowOff>
    </xdr:from>
    <xdr:to>
      <xdr:col>15</xdr:col>
      <xdr:colOff>314325</xdr:colOff>
      <xdr:row>9</xdr:row>
      <xdr:rowOff>9525</xdr:rowOff>
    </xdr:to>
    <xdr:sp macro="" textlink="">
      <xdr:nvSpPr>
        <xdr:cNvPr id="5" name="Retângulo: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7D699D-9A47-4F99-9016-DA8FA657673F}"/>
            </a:ext>
          </a:extLst>
        </xdr:cNvPr>
        <xdr:cNvSpPr/>
      </xdr:nvSpPr>
      <xdr:spPr>
        <a:xfrm>
          <a:off x="8905875" y="1714500"/>
          <a:ext cx="1409700" cy="51435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Moeda 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38100</xdr:rowOff>
    </xdr:from>
    <xdr:to>
      <xdr:col>0</xdr:col>
      <xdr:colOff>1485900</xdr:colOff>
      <xdr:row>10</xdr:row>
      <xdr:rowOff>161925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C10A2-E67F-47C1-A9F5-904AFD356E32}"/>
            </a:ext>
          </a:extLst>
        </xdr:cNvPr>
        <xdr:cNvSpPr/>
      </xdr:nvSpPr>
      <xdr:spPr>
        <a:xfrm>
          <a:off x="76200" y="2076450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409575</xdr:colOff>
      <xdr:row>1</xdr:row>
      <xdr:rowOff>314325</xdr:rowOff>
    </xdr:from>
    <xdr:to>
      <xdr:col>19</xdr:col>
      <xdr:colOff>600075</xdr:colOff>
      <xdr:row>4</xdr:row>
      <xdr:rowOff>38100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44D099-3D67-41CF-877F-A50048D46437}"/>
            </a:ext>
          </a:extLst>
        </xdr:cNvPr>
        <xdr:cNvSpPr/>
      </xdr:nvSpPr>
      <xdr:spPr>
        <a:xfrm>
          <a:off x="13211175" y="504825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0</xdr:rowOff>
    </xdr:from>
    <xdr:to>
      <xdr:col>2</xdr:col>
      <xdr:colOff>314325</xdr:colOff>
      <xdr:row>12</xdr:row>
      <xdr:rowOff>28575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3743325" y="1400175"/>
          <a:ext cx="0" cy="31051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3</xdr:row>
      <xdr:rowOff>0</xdr:rowOff>
    </xdr:from>
    <xdr:to>
      <xdr:col>14</xdr:col>
      <xdr:colOff>228600</xdr:colOff>
      <xdr:row>12</xdr:row>
      <xdr:rowOff>9525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V="1">
          <a:off x="13725525" y="1362075"/>
          <a:ext cx="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495300</xdr:colOff>
      <xdr:row>2</xdr:row>
      <xdr:rowOff>238125</xdr:rowOff>
    </xdr:from>
    <xdr:to>
      <xdr:col>17</xdr:col>
      <xdr:colOff>76200</xdr:colOff>
      <xdr:row>4</xdr:row>
      <xdr:rowOff>171450</xdr:rowOff>
    </xdr:to>
    <xdr:sp macro="" textlink="">
      <xdr:nvSpPr>
        <xdr:cNvPr id="11" name="Retângulo: Cantos Arredondado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AD6BA-8EDD-421E-8666-BD5FD26972C3}"/>
            </a:ext>
          </a:extLst>
        </xdr:cNvPr>
        <xdr:cNvSpPr/>
      </xdr:nvSpPr>
      <xdr:spPr>
        <a:xfrm>
          <a:off x="10487025" y="838200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14</xdr:col>
      <xdr:colOff>485775</xdr:colOff>
      <xdr:row>4</xdr:row>
      <xdr:rowOff>323850</xdr:rowOff>
    </xdr:from>
    <xdr:to>
      <xdr:col>17</xdr:col>
      <xdr:colOff>66675</xdr:colOff>
      <xdr:row>6</xdr:row>
      <xdr:rowOff>152400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578F78-6CB2-4F3D-ACD1-123EB00EEDC8}"/>
            </a:ext>
          </a:extLst>
        </xdr:cNvPr>
        <xdr:cNvSpPr/>
      </xdr:nvSpPr>
      <xdr:spPr>
        <a:xfrm>
          <a:off x="10477500" y="1504950"/>
          <a:ext cx="1409700" cy="51435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Moeda B</a:t>
          </a:r>
        </a:p>
      </xdr:txBody>
    </xdr:sp>
    <xdr:clientData/>
  </xdr:twoCellAnchor>
  <xdr:twoCellAnchor>
    <xdr:from>
      <xdr:col>14</xdr:col>
      <xdr:colOff>485775</xdr:colOff>
      <xdr:row>6</xdr:row>
      <xdr:rowOff>323850</xdr:rowOff>
    </xdr:from>
    <xdr:to>
      <xdr:col>17</xdr:col>
      <xdr:colOff>57150</xdr:colOff>
      <xdr:row>8</xdr:row>
      <xdr:rowOff>171450</xdr:rowOff>
    </xdr:to>
    <xdr:sp macro="" textlink="">
      <xdr:nvSpPr>
        <xdr:cNvPr id="13" name="Retângulo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51599B-C5A0-4763-BDDA-584E434E6D86}"/>
            </a:ext>
          </a:extLst>
        </xdr:cNvPr>
        <xdr:cNvSpPr/>
      </xdr:nvSpPr>
      <xdr:spPr>
        <a:xfrm>
          <a:off x="10477500" y="21907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  <xdr:twoCellAnchor>
    <xdr:from>
      <xdr:col>14</xdr:col>
      <xdr:colOff>485775</xdr:colOff>
      <xdr:row>8</xdr:row>
      <xdr:rowOff>304800</xdr:rowOff>
    </xdr:from>
    <xdr:to>
      <xdr:col>17</xdr:col>
      <xdr:colOff>57150</xdr:colOff>
      <xdr:row>10</xdr:row>
      <xdr:rowOff>152400</xdr:rowOff>
    </xdr:to>
    <xdr:sp macro="" textlink="">
      <xdr:nvSpPr>
        <xdr:cNvPr id="14" name="Retângulo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15B146-76DF-4774-AE8A-B76EEFC910A6}"/>
            </a:ext>
          </a:extLst>
        </xdr:cNvPr>
        <xdr:cNvSpPr/>
      </xdr:nvSpPr>
      <xdr:spPr>
        <a:xfrm>
          <a:off x="10477500" y="28384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Cálculo - Taxas</a:t>
          </a:r>
        </a:p>
      </xdr:txBody>
    </xdr:sp>
    <xdr:clientData/>
  </xdr:twoCellAnchor>
  <xdr:twoCellAnchor>
    <xdr:from>
      <xdr:col>14</xdr:col>
      <xdr:colOff>485775</xdr:colOff>
      <xdr:row>10</xdr:row>
      <xdr:rowOff>285750</xdr:rowOff>
    </xdr:from>
    <xdr:to>
      <xdr:col>17</xdr:col>
      <xdr:colOff>57150</xdr:colOff>
      <xdr:row>12</xdr:row>
      <xdr:rowOff>133350</xdr:rowOff>
    </xdr:to>
    <xdr:sp macro="" textlink="">
      <xdr:nvSpPr>
        <xdr:cNvPr id="15" name="Retângul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802D10-037C-4250-80D9-8118E02CDF55}"/>
            </a:ext>
          </a:extLst>
        </xdr:cNvPr>
        <xdr:cNvSpPr/>
      </xdr:nvSpPr>
      <xdr:spPr>
        <a:xfrm>
          <a:off x="10477500" y="34861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28575</xdr:rowOff>
    </xdr:from>
    <xdr:to>
      <xdr:col>1</xdr:col>
      <xdr:colOff>266700</xdr:colOff>
      <xdr:row>18</xdr:row>
      <xdr:rowOff>47625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2552700" y="1533525"/>
          <a:ext cx="0" cy="50387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2</xdr:row>
      <xdr:rowOff>180975</xdr:rowOff>
    </xdr:from>
    <xdr:to>
      <xdr:col>13</xdr:col>
      <xdr:colOff>295275</xdr:colOff>
      <xdr:row>17</xdr:row>
      <xdr:rowOff>180975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V="1">
          <a:off x="15478125" y="1447800"/>
          <a:ext cx="0" cy="49244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466725</xdr:colOff>
      <xdr:row>2</xdr:row>
      <xdr:rowOff>180975</xdr:rowOff>
    </xdr:from>
    <xdr:to>
      <xdr:col>16</xdr:col>
      <xdr:colOff>47625</xdr:colOff>
      <xdr:row>4</xdr:row>
      <xdr:rowOff>123825</xdr:rowOff>
    </xdr:to>
    <xdr:sp macro="" textlink="">
      <xdr:nvSpPr>
        <xdr:cNvPr id="10" name="Retângulo: Cantos Arredondados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C2ECB5-43AA-407E-AEA4-24340C6E566A}"/>
            </a:ext>
          </a:extLst>
        </xdr:cNvPr>
        <xdr:cNvSpPr/>
      </xdr:nvSpPr>
      <xdr:spPr>
        <a:xfrm>
          <a:off x="11077575" y="781050"/>
          <a:ext cx="1409700" cy="514350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13</xdr:col>
      <xdr:colOff>457200</xdr:colOff>
      <xdr:row>4</xdr:row>
      <xdr:rowOff>295275</xdr:rowOff>
    </xdr:from>
    <xdr:to>
      <xdr:col>16</xdr:col>
      <xdr:colOff>38100</xdr:colOff>
      <xdr:row>6</xdr:row>
      <xdr:rowOff>123825</xdr:rowOff>
    </xdr:to>
    <xdr:sp macro="" textlink="">
      <xdr:nvSpPr>
        <xdr:cNvPr id="11" name="Retângulo: Cantos Arredondados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ECF5DBF-BD30-4AD3-A339-2037DB50A30B}"/>
            </a:ext>
          </a:extLst>
        </xdr:cNvPr>
        <xdr:cNvSpPr/>
      </xdr:nvSpPr>
      <xdr:spPr>
        <a:xfrm>
          <a:off x="11068050" y="1466850"/>
          <a:ext cx="1409700" cy="51435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Moeda A</a:t>
          </a:r>
        </a:p>
      </xdr:txBody>
    </xdr:sp>
    <xdr:clientData/>
  </xdr:twoCellAnchor>
  <xdr:twoCellAnchor>
    <xdr:from>
      <xdr:col>13</xdr:col>
      <xdr:colOff>476250</xdr:colOff>
      <xdr:row>6</xdr:row>
      <xdr:rowOff>285750</xdr:rowOff>
    </xdr:from>
    <xdr:to>
      <xdr:col>16</xdr:col>
      <xdr:colOff>47625</xdr:colOff>
      <xdr:row>8</xdr:row>
      <xdr:rowOff>133350</xdr:rowOff>
    </xdr:to>
    <xdr:sp macro="" textlink="">
      <xdr:nvSpPr>
        <xdr:cNvPr id="12" name="Retângulo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29B5A4-C6EA-4D84-99E1-5270E6F96DF7}"/>
            </a:ext>
          </a:extLst>
        </xdr:cNvPr>
        <xdr:cNvSpPr/>
      </xdr:nvSpPr>
      <xdr:spPr>
        <a:xfrm>
          <a:off x="11087100" y="21431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  <xdr:twoCellAnchor>
    <xdr:from>
      <xdr:col>13</xdr:col>
      <xdr:colOff>476250</xdr:colOff>
      <xdr:row>8</xdr:row>
      <xdr:rowOff>257175</xdr:rowOff>
    </xdr:from>
    <xdr:to>
      <xdr:col>16</xdr:col>
      <xdr:colOff>47625</xdr:colOff>
      <xdr:row>10</xdr:row>
      <xdr:rowOff>104775</xdr:rowOff>
    </xdr:to>
    <xdr:sp macro="" textlink="">
      <xdr:nvSpPr>
        <xdr:cNvPr id="13" name="Retângulo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90CD3C-FF1E-4100-889D-4A9656659C94}"/>
            </a:ext>
          </a:extLst>
        </xdr:cNvPr>
        <xdr:cNvSpPr/>
      </xdr:nvSpPr>
      <xdr:spPr>
        <a:xfrm>
          <a:off x="11087100" y="27813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Cálculo - Taxas</a:t>
          </a:r>
        </a:p>
      </xdr:txBody>
    </xdr:sp>
    <xdr:clientData/>
  </xdr:twoCellAnchor>
  <xdr:twoCellAnchor>
    <xdr:from>
      <xdr:col>13</xdr:col>
      <xdr:colOff>476250</xdr:colOff>
      <xdr:row>10</xdr:row>
      <xdr:rowOff>238125</xdr:rowOff>
    </xdr:from>
    <xdr:to>
      <xdr:col>16</xdr:col>
      <xdr:colOff>47625</xdr:colOff>
      <xdr:row>12</xdr:row>
      <xdr:rowOff>85725</xdr:rowOff>
    </xdr:to>
    <xdr:sp macro="" textlink="">
      <xdr:nvSpPr>
        <xdr:cNvPr id="14" name="Retângulo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E0DE148-B3E5-4822-8544-9DFA3DA02F97}"/>
            </a:ext>
          </a:extLst>
        </xdr:cNvPr>
        <xdr:cNvSpPr/>
      </xdr:nvSpPr>
      <xdr:spPr>
        <a:xfrm>
          <a:off x="11087100" y="34290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3</xdr:row>
      <xdr:rowOff>161925</xdr:rowOff>
    </xdr:from>
    <xdr:to>
      <xdr:col>14</xdr:col>
      <xdr:colOff>514350</xdr:colOff>
      <xdr:row>6</xdr:row>
      <xdr:rowOff>28575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75AE91-9362-420D-970C-F75B2ABF0A81}"/>
            </a:ext>
          </a:extLst>
        </xdr:cNvPr>
        <xdr:cNvSpPr/>
      </xdr:nvSpPr>
      <xdr:spPr>
        <a:xfrm>
          <a:off x="8058150" y="952500"/>
          <a:ext cx="1409700" cy="5048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12</xdr:col>
      <xdr:colOff>323850</xdr:colOff>
      <xdr:row>7</xdr:row>
      <xdr:rowOff>9525</xdr:rowOff>
    </xdr:from>
    <xdr:to>
      <xdr:col>14</xdr:col>
      <xdr:colOff>504825</xdr:colOff>
      <xdr:row>9</xdr:row>
      <xdr:rowOff>142875</xdr:rowOff>
    </xdr:to>
    <xdr:sp macro="" textlink="">
      <xdr:nvSpPr>
        <xdr:cNvPr id="6" name="Retângul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F0547-A94D-4678-8057-18BB51861128}"/>
            </a:ext>
          </a:extLst>
        </xdr:cNvPr>
        <xdr:cNvSpPr/>
      </xdr:nvSpPr>
      <xdr:spPr>
        <a:xfrm>
          <a:off x="8058150" y="16383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Cálculo - Taxas</a:t>
          </a:r>
        </a:p>
      </xdr:txBody>
    </xdr:sp>
    <xdr:clientData/>
  </xdr:twoCellAnchor>
  <xdr:twoCellAnchor>
    <xdr:from>
      <xdr:col>12</xdr:col>
      <xdr:colOff>314325</xdr:colOff>
      <xdr:row>10</xdr:row>
      <xdr:rowOff>114300</xdr:rowOff>
    </xdr:from>
    <xdr:to>
      <xdr:col>14</xdr:col>
      <xdr:colOff>495300</xdr:colOff>
      <xdr:row>13</xdr:row>
      <xdr:rowOff>57150</xdr:rowOff>
    </xdr:to>
    <xdr:sp macro="" textlink="">
      <xdr:nvSpPr>
        <xdr:cNvPr id="7" name="Retângul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DEC1EB-5DB0-4381-A355-23870207244C}"/>
            </a:ext>
          </a:extLst>
        </xdr:cNvPr>
        <xdr:cNvSpPr/>
      </xdr:nvSpPr>
      <xdr:spPr>
        <a:xfrm>
          <a:off x="8048625" y="23241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  <xdr:twoCellAnchor>
    <xdr:from>
      <xdr:col>12</xdr:col>
      <xdr:colOff>304800</xdr:colOff>
      <xdr:row>14</xdr:row>
      <xdr:rowOff>9525</xdr:rowOff>
    </xdr:from>
    <xdr:to>
      <xdr:col>14</xdr:col>
      <xdr:colOff>485775</xdr:colOff>
      <xdr:row>16</xdr:row>
      <xdr:rowOff>133350</xdr:rowOff>
    </xdr:to>
    <xdr:sp macro="" textlink="">
      <xdr:nvSpPr>
        <xdr:cNvPr id="8" name="Retângul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A91463-7527-4DA1-88D4-A51FB1581012}"/>
            </a:ext>
          </a:extLst>
        </xdr:cNvPr>
        <xdr:cNvSpPr/>
      </xdr:nvSpPr>
      <xdr:spPr>
        <a:xfrm>
          <a:off x="8039100" y="29908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314325</xdr:colOff>
      <xdr:row>4</xdr:row>
      <xdr:rowOff>171450</xdr:rowOff>
    </xdr:from>
    <xdr:to>
      <xdr:col>19</xdr:col>
      <xdr:colOff>504825</xdr:colOff>
      <xdr:row>7</xdr:row>
      <xdr:rowOff>47625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24D2B4-051A-442D-86D4-13A447D4B068}"/>
            </a:ext>
          </a:extLst>
        </xdr:cNvPr>
        <xdr:cNvSpPr/>
      </xdr:nvSpPr>
      <xdr:spPr>
        <a:xfrm>
          <a:off x="10677525" y="1152525"/>
          <a:ext cx="1409700" cy="5048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17</xdr:col>
      <xdr:colOff>323850</xdr:colOff>
      <xdr:row>7</xdr:row>
      <xdr:rowOff>219075</xdr:rowOff>
    </xdr:from>
    <xdr:to>
      <xdr:col>19</xdr:col>
      <xdr:colOff>504825</xdr:colOff>
      <xdr:row>9</xdr:row>
      <xdr:rowOff>238125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56876F-E2D3-4EFA-AF65-9C2DD4544711}"/>
            </a:ext>
          </a:extLst>
        </xdr:cNvPr>
        <xdr:cNvSpPr/>
      </xdr:nvSpPr>
      <xdr:spPr>
        <a:xfrm>
          <a:off x="10687050" y="18288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  <xdr:twoCellAnchor>
    <xdr:from>
      <xdr:col>17</xdr:col>
      <xdr:colOff>314325</xdr:colOff>
      <xdr:row>10</xdr:row>
      <xdr:rowOff>142875</xdr:rowOff>
    </xdr:from>
    <xdr:to>
      <xdr:col>19</xdr:col>
      <xdr:colOff>495300</xdr:colOff>
      <xdr:row>12</xdr:row>
      <xdr:rowOff>161925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45DBD7-654B-4FE5-8728-F08C5E6051A8}"/>
            </a:ext>
          </a:extLst>
        </xdr:cNvPr>
        <xdr:cNvSpPr/>
      </xdr:nvSpPr>
      <xdr:spPr>
        <a:xfrm>
          <a:off x="10677525" y="24955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3</xdr:row>
      <xdr:rowOff>171450</xdr:rowOff>
    </xdr:from>
    <xdr:to>
      <xdr:col>17</xdr:col>
      <xdr:colOff>523875</xdr:colOff>
      <xdr:row>6</xdr:row>
      <xdr:rowOff>47625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B69706-3640-47D9-AB51-FC6DADCC05A5}"/>
            </a:ext>
          </a:extLst>
        </xdr:cNvPr>
        <xdr:cNvSpPr/>
      </xdr:nvSpPr>
      <xdr:spPr>
        <a:xfrm>
          <a:off x="9877425" y="1343025"/>
          <a:ext cx="1409700" cy="5048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15</xdr:col>
      <xdr:colOff>333375</xdr:colOff>
      <xdr:row>6</xdr:row>
      <xdr:rowOff>228600</xdr:rowOff>
    </xdr:from>
    <xdr:to>
      <xdr:col>17</xdr:col>
      <xdr:colOff>514350</xdr:colOff>
      <xdr:row>9</xdr:row>
      <xdr:rowOff>57150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CB97BD-F256-4FB8-9A79-1542C36B00A3}"/>
            </a:ext>
          </a:extLst>
        </xdr:cNvPr>
        <xdr:cNvSpPr/>
      </xdr:nvSpPr>
      <xdr:spPr>
        <a:xfrm>
          <a:off x="9877425" y="16478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Cálculo - Taxas</a:t>
          </a:r>
        </a:p>
      </xdr:txBody>
    </xdr:sp>
    <xdr:clientData/>
  </xdr:twoCellAnchor>
  <xdr:twoCellAnchor>
    <xdr:from>
      <xdr:col>15</xdr:col>
      <xdr:colOff>323850</xdr:colOff>
      <xdr:row>9</xdr:row>
      <xdr:rowOff>228600</xdr:rowOff>
    </xdr:from>
    <xdr:to>
      <xdr:col>17</xdr:col>
      <xdr:colOff>504825</xdr:colOff>
      <xdr:row>12</xdr:row>
      <xdr:rowOff>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346BF1-E1F4-4A9A-BA6B-89C2616ABF8D}"/>
            </a:ext>
          </a:extLst>
        </xdr:cNvPr>
        <xdr:cNvSpPr/>
      </xdr:nvSpPr>
      <xdr:spPr>
        <a:xfrm>
          <a:off x="9867900" y="233362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  <xdr:twoCellAnchor>
    <xdr:from>
      <xdr:col>15</xdr:col>
      <xdr:colOff>314325</xdr:colOff>
      <xdr:row>12</xdr:row>
      <xdr:rowOff>152400</xdr:rowOff>
    </xdr:from>
    <xdr:to>
      <xdr:col>17</xdr:col>
      <xdr:colOff>495300</xdr:colOff>
      <xdr:row>15</xdr:row>
      <xdr:rowOff>38100</xdr:rowOff>
    </xdr:to>
    <xdr:sp macro="" textlink="">
      <xdr:nvSpPr>
        <xdr:cNvPr id="7" name="Retângul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1DB2C6-2324-46F9-B0D4-7A9427D79260}"/>
            </a:ext>
          </a:extLst>
        </xdr:cNvPr>
        <xdr:cNvSpPr/>
      </xdr:nvSpPr>
      <xdr:spPr>
        <a:xfrm>
          <a:off x="9858375" y="3000375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3</xdr:row>
      <xdr:rowOff>238125</xdr:rowOff>
    </xdr:from>
    <xdr:to>
      <xdr:col>13</xdr:col>
      <xdr:colOff>561975</xdr:colOff>
      <xdr:row>5</xdr:row>
      <xdr:rowOff>228600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AB54EF-BC3B-479D-AF10-A45B22263B23}"/>
            </a:ext>
          </a:extLst>
        </xdr:cNvPr>
        <xdr:cNvSpPr/>
      </xdr:nvSpPr>
      <xdr:spPr>
        <a:xfrm>
          <a:off x="9801225" y="1143000"/>
          <a:ext cx="1409700" cy="504825"/>
        </a:xfrm>
        <a:prstGeom prst="roundRect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Voltar à Capa</a:t>
          </a:r>
        </a:p>
      </xdr:txBody>
    </xdr:sp>
    <xdr:clientData/>
  </xdr:twoCellAnchor>
  <xdr:twoCellAnchor>
    <xdr:from>
      <xdr:col>11</xdr:col>
      <xdr:colOff>381000</xdr:colOff>
      <xdr:row>6</xdr:row>
      <xdr:rowOff>152400</xdr:rowOff>
    </xdr:from>
    <xdr:to>
      <xdr:col>13</xdr:col>
      <xdr:colOff>561975</xdr:colOff>
      <xdr:row>8</xdr:row>
      <xdr:rowOff>171450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2F3664-900E-415D-A0D8-BC05BA38041E}"/>
            </a:ext>
          </a:extLst>
        </xdr:cNvPr>
        <xdr:cNvSpPr/>
      </xdr:nvSpPr>
      <xdr:spPr>
        <a:xfrm>
          <a:off x="9810750" y="18288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Cálculo - Taxas</a:t>
          </a:r>
        </a:p>
      </xdr:txBody>
    </xdr:sp>
    <xdr:clientData/>
  </xdr:twoCellAnchor>
  <xdr:twoCellAnchor>
    <xdr:from>
      <xdr:col>11</xdr:col>
      <xdr:colOff>371475</xdr:colOff>
      <xdr:row>9</xdr:row>
      <xdr:rowOff>95250</xdr:rowOff>
    </xdr:from>
    <xdr:to>
      <xdr:col>13</xdr:col>
      <xdr:colOff>552450</xdr:colOff>
      <xdr:row>11</xdr:row>
      <xdr:rowOff>95250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DFC8809-52B7-4494-B49F-261F45D3E4A7}"/>
            </a:ext>
          </a:extLst>
        </xdr:cNvPr>
        <xdr:cNvSpPr/>
      </xdr:nvSpPr>
      <xdr:spPr>
        <a:xfrm>
          <a:off x="9801225" y="251460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Spreads</a:t>
          </a:r>
        </a:p>
      </xdr:txBody>
    </xdr:sp>
    <xdr:clientData/>
  </xdr:twoCellAnchor>
  <xdr:twoCellAnchor>
    <xdr:from>
      <xdr:col>11</xdr:col>
      <xdr:colOff>361950</xdr:colOff>
      <xdr:row>11</xdr:row>
      <xdr:rowOff>247650</xdr:rowOff>
    </xdr:from>
    <xdr:to>
      <xdr:col>13</xdr:col>
      <xdr:colOff>542925</xdr:colOff>
      <xdr:row>13</xdr:row>
      <xdr:rowOff>247650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B879E19-6000-4C00-9867-A8F2068E4C77}"/>
            </a:ext>
          </a:extLst>
        </xdr:cNvPr>
        <xdr:cNvSpPr/>
      </xdr:nvSpPr>
      <xdr:spPr>
        <a:xfrm>
          <a:off x="9791700" y="3181350"/>
          <a:ext cx="1400175" cy="51435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500" b="1"/>
            <a:t>Lucro da</a:t>
          </a:r>
          <a:r>
            <a:rPr lang="pt-BR" sz="1500" b="1" baseline="0"/>
            <a:t> Op.</a:t>
          </a:r>
          <a:endParaRPr lang="pt-BR" sz="15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50"/>
  </sheetPr>
  <dimension ref="F3:V51"/>
  <sheetViews>
    <sheetView tabSelected="1" workbookViewId="0">
      <selection activeCell="F7" sqref="F7:P7"/>
    </sheetView>
  </sheetViews>
  <sheetFormatPr defaultRowHeight="15" x14ac:dyDescent="0.25"/>
  <cols>
    <col min="1" max="6" width="9.28515625" style="12" customWidth="1"/>
    <col min="7" max="16384" width="9.140625" style="12"/>
  </cols>
  <sheetData>
    <row r="3" spans="6:22" x14ac:dyDescent="0.25">
      <c r="F3" s="124" t="s">
        <v>46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0"/>
      <c r="R3" s="10"/>
      <c r="S3" s="10"/>
      <c r="T3" s="10"/>
      <c r="U3" s="10"/>
      <c r="V3" s="10"/>
    </row>
    <row r="7" spans="6:22" ht="45.75" x14ac:dyDescent="0.25">
      <c r="F7" s="127" t="s">
        <v>289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1"/>
      <c r="R7" s="11"/>
      <c r="S7" s="11"/>
    </row>
    <row r="10" spans="6:22" ht="19.5" x14ac:dyDescent="0.25">
      <c r="G10" s="126" t="s">
        <v>78</v>
      </c>
      <c r="H10" s="126"/>
      <c r="I10" s="126"/>
      <c r="J10" s="126"/>
      <c r="K10" s="126"/>
      <c r="L10" s="126"/>
      <c r="M10" s="126"/>
      <c r="N10" s="126"/>
      <c r="O10" s="126"/>
    </row>
    <row r="11" spans="6:22" x14ac:dyDescent="0.25">
      <c r="G11" s="125" t="s">
        <v>84</v>
      </c>
      <c r="H11" s="125"/>
      <c r="I11" s="125"/>
      <c r="J11" s="125" t="s">
        <v>311</v>
      </c>
      <c r="K11" s="125"/>
      <c r="L11" s="125"/>
      <c r="M11" s="125" t="s">
        <v>342</v>
      </c>
      <c r="N11" s="125"/>
      <c r="O11" s="125"/>
    </row>
    <row r="12" spans="6:22" x14ac:dyDescent="0.25">
      <c r="G12" s="125" t="s">
        <v>47</v>
      </c>
      <c r="H12" s="125"/>
      <c r="I12" s="125"/>
      <c r="J12" s="125" t="s">
        <v>48</v>
      </c>
      <c r="K12" s="125"/>
      <c r="L12" s="125"/>
      <c r="M12" s="125" t="s">
        <v>328</v>
      </c>
      <c r="N12" s="125"/>
      <c r="O12" s="125"/>
    </row>
    <row r="13" spans="6:22" x14ac:dyDescent="0.25">
      <c r="G13" s="125" t="s">
        <v>222</v>
      </c>
      <c r="H13" s="125"/>
      <c r="I13" s="125"/>
      <c r="J13" s="125" t="s">
        <v>223</v>
      </c>
      <c r="K13" s="125"/>
      <c r="L13" s="125"/>
      <c r="M13" s="125" t="s">
        <v>128</v>
      </c>
      <c r="N13" s="125"/>
      <c r="O13" s="125"/>
    </row>
    <row r="14" spans="6:22" x14ac:dyDescent="0.25">
      <c r="G14" s="125" t="s">
        <v>221</v>
      </c>
      <c r="H14" s="125"/>
      <c r="I14" s="125"/>
      <c r="J14" s="125" t="s">
        <v>51</v>
      </c>
      <c r="K14" s="125"/>
      <c r="L14" s="125"/>
      <c r="M14" s="125" t="s">
        <v>310</v>
      </c>
      <c r="N14" s="125"/>
      <c r="O14" s="125"/>
    </row>
    <row r="15" spans="6:22" x14ac:dyDescent="0.25">
      <c r="G15" s="125" t="s">
        <v>290</v>
      </c>
      <c r="H15" s="125"/>
      <c r="I15" s="125"/>
      <c r="J15" s="125" t="s">
        <v>77</v>
      </c>
      <c r="K15" s="125"/>
      <c r="L15" s="125"/>
      <c r="M15" s="125" t="s">
        <v>331</v>
      </c>
      <c r="N15" s="125"/>
      <c r="O15" s="125"/>
    </row>
    <row r="16" spans="6:22" x14ac:dyDescent="0.25">
      <c r="G16" s="125" t="s">
        <v>214</v>
      </c>
      <c r="H16" s="125"/>
      <c r="I16" s="125"/>
      <c r="J16" s="128" t="s">
        <v>215</v>
      </c>
      <c r="K16" s="128"/>
      <c r="L16" s="128"/>
      <c r="M16" s="125" t="s">
        <v>216</v>
      </c>
      <c r="N16" s="125"/>
      <c r="O16" s="125"/>
    </row>
    <row r="17" spans="7:15" x14ac:dyDescent="0.25">
      <c r="G17" s="125" t="s">
        <v>279</v>
      </c>
      <c r="H17" s="125"/>
      <c r="I17" s="125"/>
      <c r="J17" s="125" t="s">
        <v>282</v>
      </c>
      <c r="K17" s="125"/>
      <c r="L17" s="125"/>
      <c r="M17" s="125" t="s">
        <v>280</v>
      </c>
      <c r="N17" s="125"/>
      <c r="O17" s="125"/>
    </row>
    <row r="51" spans="8:8" x14ac:dyDescent="0.25">
      <c r="H51" s="45"/>
    </row>
  </sheetData>
  <mergeCells count="24">
    <mergeCell ref="G17:I17"/>
    <mergeCell ref="M17:O17"/>
    <mergeCell ref="J14:L14"/>
    <mergeCell ref="G11:I11"/>
    <mergeCell ref="M13:O13"/>
    <mergeCell ref="M16:O16"/>
    <mergeCell ref="J16:L16"/>
    <mergeCell ref="G16:I16"/>
    <mergeCell ref="J15:L15"/>
    <mergeCell ref="G14:I14"/>
    <mergeCell ref="G13:I13"/>
    <mergeCell ref="J13:L13"/>
    <mergeCell ref="J17:L17"/>
    <mergeCell ref="G12:I12"/>
    <mergeCell ref="J12:L12"/>
    <mergeCell ref="M11:O11"/>
    <mergeCell ref="F3:P3"/>
    <mergeCell ref="M14:O14"/>
    <mergeCell ref="G10:O10"/>
    <mergeCell ref="F7:P7"/>
    <mergeCell ref="M15:O15"/>
    <mergeCell ref="G15:I15"/>
    <mergeCell ref="J11:L11"/>
    <mergeCell ref="M12:O12"/>
  </mergeCells>
  <hyperlinks>
    <hyperlink ref="G12:I12" location="'Conversor de Paridade (A)'!A1" display="Conversor de Paridade (A)" xr:uid="{00000000-0004-0000-0000-000003000000}"/>
    <hyperlink ref="J12:L12" location="'Conversor de Paridade (B)'!A1" display="Conversor de Paridade (B)" xr:uid="{00000000-0004-0000-0000-000004000000}"/>
    <hyperlink ref="J14:L14" location="Moedas!A1" display="Moedas" xr:uid="{00000000-0004-0000-0000-000008000000}"/>
    <hyperlink ref="J15:L15" location="'Países Bloqueados'!A1" display="Países Bloqueados" xr:uid="{00000000-0004-0000-0000-000009000000}"/>
    <hyperlink ref="J16:L16" location="'Simulador de CDI (+)'!A1" display="Simulador de CDI (+)" xr:uid="{00000000-0004-0000-0000-00000C000000}"/>
    <hyperlink ref="G16:I16" location="'Simulador de CDI (-)'!A1" display="Simulador de CDI (-)" xr:uid="{00000000-0004-0000-0000-00000D000000}"/>
    <hyperlink ref="M11:O11" location="'Contato de Clientes'!A1" display="Contatos de Clientes" xr:uid="{00000000-0004-0000-0000-000011000000}"/>
    <hyperlink ref="G11:I11" location="Bloomberg!A1" display="Bloomberg" xr:uid="{00000000-0004-0000-0000-000013000000}"/>
    <hyperlink ref="M13:O13" location="Floating!A1" display="Dias de Floating" xr:uid="{00000000-0004-0000-0000-000014000000}"/>
    <hyperlink ref="M16:O16" location="Spreads!A1" display="Spread" xr:uid="{00000000-0004-0000-0000-000017000000}"/>
    <hyperlink ref="G14:I14" location="'Lucro na Operação'!A1" display="Lucro da Operação" xr:uid="{00000000-0004-0000-0000-00001A000000}"/>
    <hyperlink ref="G13:I13" location="'Diferença de Taxa'!A1" display="Diferença de Taxa" xr:uid="{00000000-0004-0000-0000-00001B000000}"/>
    <hyperlink ref="J13:L13" location="Dolarizado!A1" display="Dolarizado" xr:uid="{00000000-0004-0000-0000-00001C000000}"/>
    <hyperlink ref="G17:I17" location="'Taxa Média'!A1" display="Taxa Média" xr:uid="{00000000-0004-0000-0000-00001D000000}"/>
    <hyperlink ref="M17:O17" location="Trava!A1" display="Trava" xr:uid="{00000000-0004-0000-0000-00001E000000}"/>
    <hyperlink ref="J17:L17" location="'Taxas Convertidas'!A1" display="Taxas Convertidas" xr:uid="{00000000-0004-0000-0000-000020000000}"/>
    <hyperlink ref="J11:L11" location="'Cálculo de Taxas'!A1" display="Cálculo de Taxas" xr:uid="{FB63AAEA-DC79-4CF8-9DF6-801A94705C48}"/>
    <hyperlink ref="M12:O12" location="'Datas - IR'!A1" display="Datas - IR" xr:uid="{0820C77F-7658-4CDA-A1A7-4EB9978C29AB}"/>
    <hyperlink ref="M14:O14" location="Notícias!A1" display="Notícias" xr:uid="{9B95F4C3-9FAE-48D4-9623-83640607BC9E}"/>
    <hyperlink ref="G15:I15" location="'Operações Matemáticas'!A1" display="Operações Matemáticas" xr:uid="{C07269B3-3855-4094-A222-65EFD2A4F8F5}"/>
    <hyperlink ref="M15:O15" location="Porcentagem!A1" display="Porcentagem" xr:uid="{05622C15-D8CF-4DF0-A186-8C17954D28CE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8">
    <tabColor theme="3" tint="-0.249977111117893"/>
  </sheetPr>
  <dimension ref="G2:P23"/>
  <sheetViews>
    <sheetView workbookViewId="0">
      <selection activeCell="G2" sqref="G2:K2"/>
    </sheetView>
  </sheetViews>
  <sheetFormatPr defaultRowHeight="19.5" x14ac:dyDescent="0.3"/>
  <cols>
    <col min="1" max="6" width="9.140625" style="1"/>
    <col min="7" max="7" width="18.42578125" style="21" bestFit="1" customWidth="1"/>
    <col min="8" max="8" width="10.7109375" style="21" customWidth="1"/>
    <col min="9" max="9" width="9.140625" style="21"/>
    <col min="10" max="10" width="27.85546875" style="21" bestFit="1" customWidth="1"/>
    <col min="11" max="11" width="20.42578125" style="21" customWidth="1"/>
    <col min="12" max="16384" width="9.140625" style="1"/>
  </cols>
  <sheetData>
    <row r="2" spans="7:16" ht="32.25" x14ac:dyDescent="0.25">
      <c r="G2" s="145" t="s">
        <v>128</v>
      </c>
      <c r="H2" s="145"/>
      <c r="I2" s="145"/>
      <c r="J2" s="145"/>
      <c r="K2" s="145"/>
      <c r="L2" s="13"/>
      <c r="M2" s="13"/>
      <c r="N2" s="13"/>
      <c r="O2" s="13"/>
      <c r="P2" s="13"/>
    </row>
    <row r="4" spans="7:16" ht="20.25" thickBot="1" x14ac:dyDescent="0.35"/>
    <row r="5" spans="7:16" ht="20.25" thickBot="1" x14ac:dyDescent="0.35">
      <c r="G5" s="194" t="s">
        <v>128</v>
      </c>
      <c r="H5" s="195"/>
      <c r="J5" s="194" t="s">
        <v>129</v>
      </c>
      <c r="K5" s="195"/>
    </row>
    <row r="6" spans="7:16" ht="20.25" thickBot="1" x14ac:dyDescent="0.35"/>
    <row r="7" spans="7:16" x14ac:dyDescent="0.3">
      <c r="G7" s="22" t="s">
        <v>130</v>
      </c>
      <c r="H7" s="23">
        <v>6.36</v>
      </c>
      <c r="J7" s="24" t="s">
        <v>130</v>
      </c>
      <c r="K7" s="25" t="s">
        <v>131</v>
      </c>
    </row>
    <row r="8" spans="7:16" x14ac:dyDescent="0.3">
      <c r="G8" s="26" t="s">
        <v>132</v>
      </c>
      <c r="H8" s="27">
        <v>2.11</v>
      </c>
      <c r="J8" s="28" t="s">
        <v>2</v>
      </c>
      <c r="K8" s="25" t="s">
        <v>131</v>
      </c>
    </row>
    <row r="9" spans="7:16" x14ac:dyDescent="0.3">
      <c r="G9" s="29" t="s">
        <v>133</v>
      </c>
      <c r="H9" s="30">
        <f>H7-H8</f>
        <v>4.25</v>
      </c>
      <c r="J9" s="196" t="s">
        <v>134</v>
      </c>
      <c r="K9" s="25" t="s">
        <v>135</v>
      </c>
    </row>
    <row r="10" spans="7:16" ht="20.25" thickBot="1" x14ac:dyDescent="0.35">
      <c r="G10" s="26" t="s">
        <v>2</v>
      </c>
      <c r="H10" s="31">
        <v>190</v>
      </c>
      <c r="J10" s="196"/>
      <c r="K10" s="32" t="s">
        <v>136</v>
      </c>
    </row>
    <row r="11" spans="7:16" ht="20.25" thickBot="1" x14ac:dyDescent="0.35">
      <c r="G11" s="33" t="s">
        <v>141</v>
      </c>
      <c r="H11" s="34">
        <v>5</v>
      </c>
      <c r="J11" s="35" t="s">
        <v>137</v>
      </c>
      <c r="K11" s="36" t="s">
        <v>138</v>
      </c>
      <c r="L11" s="20"/>
    </row>
    <row r="12" spans="7:16" ht="20.25" thickBot="1" x14ac:dyDescent="0.35">
      <c r="J12" s="35" t="s">
        <v>132</v>
      </c>
      <c r="K12" s="37" t="s">
        <v>139</v>
      </c>
    </row>
    <row r="13" spans="7:16" ht="20.25" thickBot="1" x14ac:dyDescent="0.35">
      <c r="G13" s="38" t="s">
        <v>138</v>
      </c>
      <c r="H13" s="39">
        <f>H7*((H10)/(H10-H11))</f>
        <v>6.5318918918918918</v>
      </c>
    </row>
    <row r="14" spans="7:16" ht="20.25" thickBot="1" x14ac:dyDescent="0.35">
      <c r="G14" s="40" t="s">
        <v>132</v>
      </c>
      <c r="H14" s="41">
        <f>H8</f>
        <v>2.11</v>
      </c>
      <c r="J14" s="35" t="s">
        <v>137</v>
      </c>
      <c r="K14" s="42" t="s">
        <v>140</v>
      </c>
      <c r="L14" s="20"/>
    </row>
    <row r="15" spans="7:16" ht="20.25" thickBot="1" x14ac:dyDescent="0.35">
      <c r="G15" s="43" t="s">
        <v>140</v>
      </c>
      <c r="H15" s="44">
        <f>H13-H14</f>
        <v>4.4218918918918924</v>
      </c>
    </row>
    <row r="23" spans="7:7" x14ac:dyDescent="0.3">
      <c r="G23" s="49"/>
    </row>
  </sheetData>
  <mergeCells count="4">
    <mergeCell ref="G5:H5"/>
    <mergeCell ref="J5:K5"/>
    <mergeCell ref="J9:J10"/>
    <mergeCell ref="G2:K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15">
    <tabColor theme="3" tint="0.39997558519241921"/>
  </sheetPr>
  <dimension ref="C2:P12"/>
  <sheetViews>
    <sheetView workbookViewId="0">
      <selection activeCell="F2" sqref="F2:P2"/>
    </sheetView>
  </sheetViews>
  <sheetFormatPr defaultRowHeight="15" x14ac:dyDescent="0.25"/>
  <cols>
    <col min="1" max="16384" width="9.140625" style="12"/>
  </cols>
  <sheetData>
    <row r="2" spans="3:16" ht="32.25" x14ac:dyDescent="0.25">
      <c r="D2" s="13"/>
      <c r="E2" s="13"/>
      <c r="F2" s="145" t="s">
        <v>224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6" spans="3:16" ht="19.5" x14ac:dyDescent="0.25">
      <c r="F6" s="168" t="s">
        <v>5</v>
      </c>
      <c r="G6" s="168"/>
      <c r="H6" s="168"/>
      <c r="I6" s="168"/>
      <c r="J6" s="168"/>
      <c r="L6" s="153" t="s">
        <v>6</v>
      </c>
      <c r="M6" s="153"/>
      <c r="N6" s="153"/>
      <c r="O6" s="153"/>
      <c r="P6" s="153"/>
    </row>
    <row r="8" spans="3:16" ht="19.5" x14ac:dyDescent="0.25">
      <c r="C8" s="199" t="s">
        <v>225</v>
      </c>
      <c r="D8" s="199"/>
      <c r="F8" s="200">
        <v>3.1480000000000001</v>
      </c>
      <c r="G8" s="200"/>
      <c r="H8" s="200"/>
      <c r="I8" s="200"/>
      <c r="J8" s="200"/>
      <c r="K8" s="47"/>
      <c r="L8" s="200">
        <v>3.4689999999999999</v>
      </c>
      <c r="M8" s="200"/>
      <c r="N8" s="200"/>
      <c r="O8" s="200"/>
      <c r="P8" s="200"/>
    </row>
    <row r="9" spans="3:16" ht="19.5" x14ac:dyDescent="0.25">
      <c r="C9" s="199" t="s">
        <v>226</v>
      </c>
      <c r="D9" s="199"/>
      <c r="F9" s="201">
        <v>3.0703</v>
      </c>
      <c r="G9" s="201"/>
      <c r="H9" s="201"/>
      <c r="I9" s="201"/>
      <c r="J9" s="201"/>
      <c r="K9" s="47"/>
      <c r="L9" s="201">
        <v>3.5</v>
      </c>
      <c r="M9" s="201"/>
      <c r="N9" s="201"/>
      <c r="O9" s="201"/>
      <c r="P9" s="201"/>
    </row>
    <row r="10" spans="3:16" ht="19.5" x14ac:dyDescent="0.25">
      <c r="C10" s="199" t="s">
        <v>227</v>
      </c>
      <c r="D10" s="199"/>
      <c r="F10" s="172">
        <v>250000</v>
      </c>
      <c r="G10" s="172"/>
      <c r="H10" s="172"/>
      <c r="I10" s="172"/>
      <c r="J10" s="172"/>
      <c r="K10" s="47"/>
      <c r="L10" s="172">
        <v>10000</v>
      </c>
      <c r="M10" s="172"/>
      <c r="N10" s="172"/>
      <c r="O10" s="172"/>
      <c r="P10" s="172"/>
    </row>
    <row r="11" spans="3:16" ht="19.5" x14ac:dyDescent="0.25"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3:16" ht="19.5" x14ac:dyDescent="0.25">
      <c r="C12" s="199" t="s">
        <v>228</v>
      </c>
      <c r="D12" s="199"/>
      <c r="F12" s="197">
        <f>(F8-F9)*F10</f>
        <v>19425.000000000025</v>
      </c>
      <c r="G12" s="197"/>
      <c r="H12" s="197"/>
      <c r="I12" s="197"/>
      <c r="J12" s="197"/>
      <c r="K12" s="47"/>
      <c r="L12" s="197">
        <f>(L9-L8)*L10</f>
        <v>310.00000000000136</v>
      </c>
      <c r="M12" s="198"/>
      <c r="N12" s="198"/>
      <c r="O12" s="198"/>
      <c r="P12" s="198"/>
    </row>
  </sheetData>
  <mergeCells count="15">
    <mergeCell ref="F2:P2"/>
    <mergeCell ref="F10:J10"/>
    <mergeCell ref="L8:P8"/>
    <mergeCell ref="L9:P9"/>
    <mergeCell ref="L10:P10"/>
    <mergeCell ref="F6:J6"/>
    <mergeCell ref="L6:P6"/>
    <mergeCell ref="F12:J12"/>
    <mergeCell ref="L12:P12"/>
    <mergeCell ref="C10:D10"/>
    <mergeCell ref="C8:D8"/>
    <mergeCell ref="C9:D9"/>
    <mergeCell ref="C12:D12"/>
    <mergeCell ref="F8:J8"/>
    <mergeCell ref="F9:J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16">
    <tabColor theme="3" tint="-0.249977111117893"/>
  </sheetPr>
  <dimension ref="H2:M26"/>
  <sheetViews>
    <sheetView workbookViewId="0"/>
  </sheetViews>
  <sheetFormatPr defaultRowHeight="15" x14ac:dyDescent="0.25"/>
  <cols>
    <col min="1" max="7" width="10" style="1" customWidth="1"/>
    <col min="8" max="9" width="9.140625" style="1"/>
    <col min="10" max="10" width="6.42578125" style="1" customWidth="1"/>
    <col min="11" max="13" width="10" style="1" customWidth="1"/>
    <col min="14" max="16384" width="9.140625" style="1"/>
  </cols>
  <sheetData>
    <row r="2" spans="8:13" ht="32.25" x14ac:dyDescent="0.5">
      <c r="H2" s="202" t="s">
        <v>51</v>
      </c>
      <c r="I2" s="202"/>
      <c r="J2" s="202"/>
      <c r="K2" s="202"/>
      <c r="L2" s="202"/>
      <c r="M2" s="202"/>
    </row>
    <row r="5" spans="8:13" ht="19.5" x14ac:dyDescent="0.25">
      <c r="H5" s="206" t="s">
        <v>49</v>
      </c>
      <c r="I5" s="207"/>
      <c r="J5" s="207"/>
      <c r="K5" s="207"/>
      <c r="L5" s="207"/>
      <c r="M5" s="208"/>
    </row>
    <row r="6" spans="8:13" x14ac:dyDescent="0.25">
      <c r="H6" s="12"/>
      <c r="I6" s="12"/>
      <c r="J6" s="12"/>
      <c r="K6" s="12"/>
      <c r="L6" s="12"/>
      <c r="M6" s="12"/>
    </row>
    <row r="7" spans="8:13" ht="19.5" x14ac:dyDescent="0.25">
      <c r="H7" s="134" t="s">
        <v>80</v>
      </c>
      <c r="I7" s="135"/>
      <c r="J7" s="12"/>
      <c r="K7" s="134" t="s">
        <v>0</v>
      </c>
      <c r="L7" s="135"/>
      <c r="M7" s="135"/>
    </row>
    <row r="8" spans="8:13" x14ac:dyDescent="0.25">
      <c r="H8" s="210" t="s">
        <v>33</v>
      </c>
      <c r="I8" s="210"/>
      <c r="J8" s="12"/>
      <c r="K8" s="211" t="s">
        <v>37</v>
      </c>
      <c r="L8" s="211"/>
      <c r="M8" s="211"/>
    </row>
    <row r="9" spans="8:13" x14ac:dyDescent="0.25">
      <c r="H9" s="210" t="s">
        <v>34</v>
      </c>
      <c r="I9" s="210"/>
      <c r="J9" s="12"/>
      <c r="K9" s="211" t="s">
        <v>38</v>
      </c>
      <c r="L9" s="211"/>
      <c r="M9" s="211"/>
    </row>
    <row r="10" spans="8:13" x14ac:dyDescent="0.25">
      <c r="H10" s="210" t="s">
        <v>35</v>
      </c>
      <c r="I10" s="210"/>
      <c r="J10" s="12"/>
      <c r="K10" s="211" t="s">
        <v>39</v>
      </c>
      <c r="L10" s="211"/>
      <c r="M10" s="211"/>
    </row>
    <row r="11" spans="8:13" x14ac:dyDescent="0.25">
      <c r="H11" s="210" t="s">
        <v>36</v>
      </c>
      <c r="I11" s="210"/>
      <c r="J11" s="12"/>
      <c r="K11" s="211" t="s">
        <v>40</v>
      </c>
      <c r="L11" s="211"/>
      <c r="M11" s="211"/>
    </row>
    <row r="12" spans="8:13" x14ac:dyDescent="0.25">
      <c r="H12" s="210" t="s">
        <v>10</v>
      </c>
      <c r="I12" s="210"/>
      <c r="J12" s="12"/>
      <c r="K12" s="211" t="s">
        <v>7</v>
      </c>
      <c r="L12" s="211"/>
      <c r="M12" s="211"/>
    </row>
    <row r="13" spans="8:13" x14ac:dyDescent="0.25">
      <c r="H13" s="12"/>
      <c r="I13" s="12"/>
      <c r="J13" s="12"/>
      <c r="K13" s="12"/>
      <c r="L13" s="12"/>
      <c r="M13" s="12"/>
    </row>
    <row r="14" spans="8:13" ht="19.5" x14ac:dyDescent="0.25">
      <c r="H14" s="203" t="s">
        <v>50</v>
      </c>
      <c r="I14" s="204"/>
      <c r="J14" s="204"/>
      <c r="K14" s="204"/>
      <c r="L14" s="204"/>
      <c r="M14" s="205"/>
    </row>
    <row r="15" spans="8:13" x14ac:dyDescent="0.25">
      <c r="H15" s="12"/>
      <c r="I15" s="12"/>
      <c r="J15" s="12"/>
      <c r="K15" s="12"/>
      <c r="L15" s="12"/>
      <c r="M15" s="12"/>
    </row>
    <row r="16" spans="8:13" ht="19.5" x14ac:dyDescent="0.25">
      <c r="H16" s="134" t="s">
        <v>80</v>
      </c>
      <c r="I16" s="135"/>
      <c r="J16" s="12"/>
      <c r="K16" s="134" t="s">
        <v>0</v>
      </c>
      <c r="L16" s="135"/>
      <c r="M16" s="135"/>
    </row>
    <row r="17" spans="8:13" x14ac:dyDescent="0.25">
      <c r="H17" s="210" t="s">
        <v>11</v>
      </c>
      <c r="I17" s="210"/>
      <c r="J17" s="12"/>
      <c r="K17" s="209" t="s">
        <v>23</v>
      </c>
      <c r="L17" s="209"/>
      <c r="M17" s="209"/>
    </row>
    <row r="18" spans="8:13" x14ac:dyDescent="0.25">
      <c r="H18" s="210" t="s">
        <v>12</v>
      </c>
      <c r="I18" s="210"/>
      <c r="J18" s="12"/>
      <c r="K18" s="209" t="s">
        <v>24</v>
      </c>
      <c r="L18" s="209"/>
      <c r="M18" s="209"/>
    </row>
    <row r="19" spans="8:13" x14ac:dyDescent="0.25">
      <c r="H19" s="210" t="s">
        <v>13</v>
      </c>
      <c r="I19" s="210"/>
      <c r="J19" s="12"/>
      <c r="K19" s="209" t="s">
        <v>25</v>
      </c>
      <c r="L19" s="209"/>
      <c r="M19" s="209"/>
    </row>
    <row r="20" spans="8:13" x14ac:dyDescent="0.25">
      <c r="H20" s="210" t="s">
        <v>14</v>
      </c>
      <c r="I20" s="210"/>
      <c r="J20" s="12"/>
      <c r="K20" s="209" t="s">
        <v>26</v>
      </c>
      <c r="L20" s="209"/>
      <c r="M20" s="209"/>
    </row>
    <row r="21" spans="8:13" x14ac:dyDescent="0.25">
      <c r="H21" s="210" t="s">
        <v>15</v>
      </c>
      <c r="I21" s="210"/>
      <c r="J21" s="12"/>
      <c r="K21" s="209" t="s">
        <v>27</v>
      </c>
      <c r="L21" s="209"/>
      <c r="M21" s="209"/>
    </row>
    <row r="22" spans="8:13" x14ac:dyDescent="0.25">
      <c r="H22" s="210" t="s">
        <v>16</v>
      </c>
      <c r="I22" s="210"/>
      <c r="J22" s="12"/>
      <c r="K22" s="209" t="s">
        <v>28</v>
      </c>
      <c r="L22" s="209"/>
      <c r="M22" s="209"/>
    </row>
    <row r="23" spans="8:13" x14ac:dyDescent="0.25">
      <c r="H23" s="210" t="s">
        <v>17</v>
      </c>
      <c r="I23" s="210"/>
      <c r="J23" s="12"/>
      <c r="K23" s="209" t="s">
        <v>81</v>
      </c>
      <c r="L23" s="209"/>
      <c r="M23" s="209"/>
    </row>
    <row r="24" spans="8:13" x14ac:dyDescent="0.25">
      <c r="H24" s="210" t="s">
        <v>18</v>
      </c>
      <c r="I24" s="210"/>
      <c r="J24" s="12"/>
      <c r="K24" s="209" t="s">
        <v>30</v>
      </c>
      <c r="L24" s="209"/>
      <c r="M24" s="209"/>
    </row>
    <row r="25" spans="8:13" x14ac:dyDescent="0.25">
      <c r="H25" s="210" t="s">
        <v>19</v>
      </c>
      <c r="I25" s="210"/>
      <c r="J25" s="12"/>
      <c r="K25" s="209" t="s">
        <v>31</v>
      </c>
      <c r="L25" s="209"/>
      <c r="M25" s="209"/>
    </row>
    <row r="26" spans="8:13" x14ac:dyDescent="0.25">
      <c r="H26" s="210" t="s">
        <v>20</v>
      </c>
      <c r="I26" s="210"/>
      <c r="J26" s="12"/>
      <c r="K26" s="209" t="s">
        <v>32</v>
      </c>
      <c r="L26" s="209"/>
      <c r="M26" s="209"/>
    </row>
  </sheetData>
  <mergeCells count="37">
    <mergeCell ref="H26:I26"/>
    <mergeCell ref="H25:I25"/>
    <mergeCell ref="H23:I23"/>
    <mergeCell ref="H24:I24"/>
    <mergeCell ref="H22:I22"/>
    <mergeCell ref="K26:M26"/>
    <mergeCell ref="K7:M7"/>
    <mergeCell ref="H7:I7"/>
    <mergeCell ref="H12:I12"/>
    <mergeCell ref="H11:I11"/>
    <mergeCell ref="H10:I10"/>
    <mergeCell ref="H9:I9"/>
    <mergeCell ref="K17:M17"/>
    <mergeCell ref="K18:M18"/>
    <mergeCell ref="K19:M19"/>
    <mergeCell ref="K20:M20"/>
    <mergeCell ref="K21:M21"/>
    <mergeCell ref="K22:M22"/>
    <mergeCell ref="K8:M8"/>
    <mergeCell ref="H21:I21"/>
    <mergeCell ref="H20:I20"/>
    <mergeCell ref="H2:M2"/>
    <mergeCell ref="H14:M14"/>
    <mergeCell ref="H5:M5"/>
    <mergeCell ref="K24:M24"/>
    <mergeCell ref="K25:M25"/>
    <mergeCell ref="H18:I18"/>
    <mergeCell ref="H19:I19"/>
    <mergeCell ref="K23:M23"/>
    <mergeCell ref="K16:M16"/>
    <mergeCell ref="K12:M12"/>
    <mergeCell ref="K11:M11"/>
    <mergeCell ref="K10:M10"/>
    <mergeCell ref="K9:M9"/>
    <mergeCell ref="H17:I17"/>
    <mergeCell ref="H16:I16"/>
    <mergeCell ref="H8:I8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05B17-F592-4D08-9F66-9A48AB8DC8FE}">
  <sheetPr>
    <tabColor theme="3" tint="0.39997558519241921"/>
  </sheetPr>
  <dimension ref="E2:O2"/>
  <sheetViews>
    <sheetView workbookViewId="0">
      <selection activeCell="E2" sqref="E2:O2"/>
    </sheetView>
  </sheetViews>
  <sheetFormatPr defaultRowHeight="15" x14ac:dyDescent="0.25"/>
  <cols>
    <col min="1" max="4" width="10.7109375" style="1" customWidth="1"/>
    <col min="5" max="16384" width="9.140625" style="1"/>
  </cols>
  <sheetData>
    <row r="2" spans="5:15" ht="32.25" x14ac:dyDescent="0.25">
      <c r="E2" s="145" t="s">
        <v>310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</row>
  </sheetData>
  <mergeCells count="1">
    <mergeCell ref="E2:O2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DA37E-EC62-4CD6-A2E4-D6C31F7B2DF5}">
  <sheetPr>
    <tabColor theme="3" tint="-0.249977111117893"/>
  </sheetPr>
  <dimension ref="C2:P19"/>
  <sheetViews>
    <sheetView workbookViewId="0">
      <selection activeCell="C2" sqref="C2:P2"/>
    </sheetView>
  </sheetViews>
  <sheetFormatPr defaultRowHeight="15" x14ac:dyDescent="0.25"/>
  <cols>
    <col min="1" max="2" width="10" style="1" customWidth="1"/>
    <col min="3" max="3" width="10.7109375" style="1" customWidth="1"/>
    <col min="4" max="5" width="10" style="1" customWidth="1"/>
    <col min="6" max="6" width="10.7109375" style="1" customWidth="1"/>
    <col min="7" max="7" width="7.85546875" style="1" customWidth="1"/>
    <col min="8" max="8" width="10.7109375" style="1" customWidth="1"/>
    <col min="9" max="10" width="10" style="1" customWidth="1"/>
    <col min="11" max="11" width="10.7109375" style="1" customWidth="1"/>
    <col min="12" max="12" width="7.85546875" style="1" customWidth="1"/>
    <col min="13" max="13" width="10.7109375" style="1" customWidth="1"/>
    <col min="14" max="15" width="10" style="1" customWidth="1"/>
    <col min="16" max="16" width="10.7109375" style="1" customWidth="1"/>
    <col min="17" max="16384" width="9.140625" style="1"/>
  </cols>
  <sheetData>
    <row r="2" spans="3:16" ht="32.25" x14ac:dyDescent="0.25">
      <c r="C2" s="145" t="s">
        <v>290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5" spans="3:16" ht="15.75" x14ac:dyDescent="0.25">
      <c r="C5" s="223" t="s">
        <v>291</v>
      </c>
      <c r="D5" s="224"/>
      <c r="E5" s="224"/>
      <c r="F5" s="225"/>
      <c r="H5" s="223" t="s">
        <v>292</v>
      </c>
      <c r="I5" s="224"/>
      <c r="J5" s="224"/>
      <c r="K5" s="225"/>
      <c r="M5" s="223" t="s">
        <v>293</v>
      </c>
      <c r="N5" s="224"/>
      <c r="O5" s="224"/>
      <c r="P5" s="225"/>
    </row>
    <row r="6" spans="3:16" ht="15.75" x14ac:dyDescent="0.25">
      <c r="C6" s="89">
        <v>1200</v>
      </c>
      <c r="D6" s="212" t="s">
        <v>294</v>
      </c>
      <c r="E6" s="213"/>
      <c r="F6" s="90">
        <v>3000</v>
      </c>
      <c r="H6" s="89">
        <v>1200</v>
      </c>
      <c r="I6" s="212" t="s">
        <v>295</v>
      </c>
      <c r="J6" s="213"/>
      <c r="K6" s="90">
        <v>2</v>
      </c>
      <c r="M6" s="89">
        <v>2</v>
      </c>
      <c r="N6" s="212" t="s">
        <v>296</v>
      </c>
      <c r="O6" s="213"/>
      <c r="P6" s="90">
        <v>2</v>
      </c>
    </row>
    <row r="7" spans="3:16" ht="15.75" x14ac:dyDescent="0.25">
      <c r="C7" s="214">
        <f>C6/F6</f>
        <v>0.4</v>
      </c>
      <c r="D7" s="215"/>
      <c r="E7" s="215"/>
      <c r="F7" s="216"/>
      <c r="H7" s="220">
        <f>H6*K6</f>
        <v>2400</v>
      </c>
      <c r="I7" s="221"/>
      <c r="J7" s="221"/>
      <c r="K7" s="222"/>
      <c r="M7" s="220">
        <f>M6^P6</f>
        <v>4</v>
      </c>
      <c r="N7" s="221"/>
      <c r="O7" s="221"/>
      <c r="P7" s="222"/>
    </row>
    <row r="9" spans="3:16" ht="15.75" x14ac:dyDescent="0.25">
      <c r="C9" s="223" t="s">
        <v>79</v>
      </c>
      <c r="D9" s="224"/>
      <c r="E9" s="224"/>
      <c r="F9" s="225"/>
      <c r="H9" s="223" t="s">
        <v>297</v>
      </c>
      <c r="I9" s="224"/>
      <c r="J9" s="224"/>
      <c r="K9" s="225"/>
      <c r="M9" s="223" t="s">
        <v>298</v>
      </c>
      <c r="N9" s="224"/>
      <c r="O9" s="224"/>
      <c r="P9" s="225"/>
    </row>
    <row r="10" spans="3:16" ht="15.75" x14ac:dyDescent="0.25">
      <c r="C10" s="89">
        <v>4</v>
      </c>
      <c r="D10" s="212" t="s">
        <v>299</v>
      </c>
      <c r="E10" s="213"/>
      <c r="F10" s="90">
        <v>20</v>
      </c>
      <c r="H10" s="89">
        <v>10</v>
      </c>
      <c r="I10" s="212" t="s">
        <v>300</v>
      </c>
      <c r="J10" s="213"/>
      <c r="K10" s="90">
        <v>2</v>
      </c>
      <c r="M10" s="91">
        <v>0.03</v>
      </c>
      <c r="N10" s="212" t="s">
        <v>301</v>
      </c>
      <c r="O10" s="213"/>
      <c r="P10" s="90">
        <v>4000</v>
      </c>
    </row>
    <row r="11" spans="3:16" ht="15.75" x14ac:dyDescent="0.25">
      <c r="C11" s="214">
        <f>C10+F10</f>
        <v>24</v>
      </c>
      <c r="D11" s="215"/>
      <c r="E11" s="215"/>
      <c r="F11" s="216"/>
      <c r="H11" s="220">
        <f>H10-K10</f>
        <v>8</v>
      </c>
      <c r="I11" s="221"/>
      <c r="J11" s="221"/>
      <c r="K11" s="222"/>
      <c r="M11" s="220">
        <f>M10*P10</f>
        <v>120</v>
      </c>
      <c r="N11" s="221"/>
      <c r="O11" s="221"/>
      <c r="P11" s="222"/>
    </row>
    <row r="13" spans="3:16" ht="15.75" x14ac:dyDescent="0.25">
      <c r="C13" s="223" t="s">
        <v>302</v>
      </c>
      <c r="D13" s="224"/>
      <c r="E13" s="224"/>
      <c r="F13" s="225"/>
      <c r="H13" s="223" t="s">
        <v>303</v>
      </c>
      <c r="I13" s="224"/>
      <c r="J13" s="224"/>
      <c r="K13" s="225"/>
      <c r="M13" s="223" t="s">
        <v>304</v>
      </c>
      <c r="N13" s="224"/>
      <c r="O13" s="224"/>
      <c r="P13" s="225"/>
    </row>
    <row r="14" spans="3:16" ht="15.75" x14ac:dyDescent="0.25">
      <c r="C14" s="92" t="s">
        <v>302</v>
      </c>
      <c r="D14" s="212" t="s">
        <v>301</v>
      </c>
      <c r="E14" s="213"/>
      <c r="F14" s="90">
        <v>25</v>
      </c>
      <c r="H14" s="92" t="s">
        <v>305</v>
      </c>
      <c r="I14" s="212" t="s">
        <v>301</v>
      </c>
      <c r="J14" s="213"/>
      <c r="K14" s="90">
        <v>81</v>
      </c>
      <c r="M14" s="89">
        <v>150</v>
      </c>
      <c r="N14" s="212" t="s">
        <v>300</v>
      </c>
      <c r="O14" s="213"/>
      <c r="P14" s="93">
        <v>0.15</v>
      </c>
    </row>
    <row r="15" spans="3:16" ht="15.75" x14ac:dyDescent="0.25">
      <c r="C15" s="214">
        <f>LN(F14)</f>
        <v>3.2188758248682006</v>
      </c>
      <c r="D15" s="215"/>
      <c r="E15" s="215"/>
      <c r="F15" s="216"/>
      <c r="H15" s="214">
        <f>SQRT(K14)</f>
        <v>9</v>
      </c>
      <c r="I15" s="215"/>
      <c r="J15" s="215"/>
      <c r="K15" s="216"/>
      <c r="M15" s="214">
        <f>M14-(M14*P14)</f>
        <v>127.5</v>
      </c>
      <c r="N15" s="215"/>
      <c r="O15" s="215"/>
      <c r="P15" s="216"/>
    </row>
    <row r="17" spans="3:16" ht="15.75" x14ac:dyDescent="0.25">
      <c r="C17" s="223" t="s">
        <v>306</v>
      </c>
      <c r="D17" s="224"/>
      <c r="E17" s="224"/>
      <c r="F17" s="225"/>
      <c r="H17" s="223" t="s">
        <v>307</v>
      </c>
      <c r="I17" s="224"/>
      <c r="J17" s="224"/>
      <c r="K17" s="225"/>
      <c r="M17" s="223" t="s">
        <v>308</v>
      </c>
      <c r="N17" s="224"/>
      <c r="O17" s="224"/>
      <c r="P17" s="225"/>
    </row>
    <row r="18" spans="3:16" ht="15.75" x14ac:dyDescent="0.25">
      <c r="C18" s="89">
        <v>150</v>
      </c>
      <c r="D18" s="212" t="s">
        <v>299</v>
      </c>
      <c r="E18" s="213"/>
      <c r="F18" s="93">
        <v>0.15</v>
      </c>
      <c r="H18" s="89">
        <v>110</v>
      </c>
      <c r="I18" s="212" t="s">
        <v>309</v>
      </c>
      <c r="J18" s="213"/>
      <c r="K18" s="94">
        <v>125</v>
      </c>
      <c r="M18" s="94">
        <v>110</v>
      </c>
      <c r="N18" s="94">
        <v>30</v>
      </c>
      <c r="O18" s="94">
        <v>125</v>
      </c>
      <c r="P18" s="94">
        <v>69</v>
      </c>
    </row>
    <row r="19" spans="3:16" ht="15.75" x14ac:dyDescent="0.25">
      <c r="C19" s="214">
        <f>C18+(C18*F18)</f>
        <v>172.5</v>
      </c>
      <c r="D19" s="215"/>
      <c r="E19" s="215"/>
      <c r="F19" s="216"/>
      <c r="H19" s="217">
        <f>(K18/H18)-1</f>
        <v>0.13636363636363646</v>
      </c>
      <c r="I19" s="218"/>
      <c r="J19" s="218"/>
      <c r="K19" s="219"/>
      <c r="M19" s="220">
        <f>AVERAGE(M18:P18)</f>
        <v>83.5</v>
      </c>
      <c r="N19" s="221"/>
      <c r="O19" s="221"/>
      <c r="P19" s="222"/>
    </row>
  </sheetData>
  <mergeCells count="36">
    <mergeCell ref="C2:P2"/>
    <mergeCell ref="C5:F5"/>
    <mergeCell ref="H5:K5"/>
    <mergeCell ref="M5:P5"/>
    <mergeCell ref="D6:E6"/>
    <mergeCell ref="I6:J6"/>
    <mergeCell ref="N6:O6"/>
    <mergeCell ref="C7:F7"/>
    <mergeCell ref="H7:K7"/>
    <mergeCell ref="M7:P7"/>
    <mergeCell ref="C9:F9"/>
    <mergeCell ref="H9:K9"/>
    <mergeCell ref="M9:P9"/>
    <mergeCell ref="D10:E10"/>
    <mergeCell ref="I10:J10"/>
    <mergeCell ref="N10:O10"/>
    <mergeCell ref="C11:F11"/>
    <mergeCell ref="H11:K11"/>
    <mergeCell ref="M11:P11"/>
    <mergeCell ref="C13:F13"/>
    <mergeCell ref="H13:K13"/>
    <mergeCell ref="M13:P13"/>
    <mergeCell ref="D14:E14"/>
    <mergeCell ref="I14:J14"/>
    <mergeCell ref="N14:O14"/>
    <mergeCell ref="C15:F15"/>
    <mergeCell ref="H15:K15"/>
    <mergeCell ref="M15:P15"/>
    <mergeCell ref="C17:F17"/>
    <mergeCell ref="H17:K17"/>
    <mergeCell ref="M17:P17"/>
    <mergeCell ref="D18:E18"/>
    <mergeCell ref="I18:J18"/>
    <mergeCell ref="C19:F19"/>
    <mergeCell ref="H19:K19"/>
    <mergeCell ref="M19:P19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17">
    <tabColor theme="3" tint="0.39997558519241921"/>
  </sheetPr>
  <dimension ref="F2:N27"/>
  <sheetViews>
    <sheetView workbookViewId="0"/>
  </sheetViews>
  <sheetFormatPr defaultRowHeight="15" x14ac:dyDescent="0.25"/>
  <cols>
    <col min="1" max="5" width="9.140625" style="12"/>
    <col min="6" max="6" width="40.42578125" style="12" bestFit="1" customWidth="1"/>
    <col min="7" max="7" width="31.140625" style="12" bestFit="1" customWidth="1"/>
    <col min="8" max="8" width="9.140625" style="12" customWidth="1"/>
    <col min="9" max="16384" width="9.140625" style="12"/>
  </cols>
  <sheetData>
    <row r="2" spans="6:14" ht="32.25" x14ac:dyDescent="0.25">
      <c r="F2" s="145" t="s">
        <v>62</v>
      </c>
      <c r="G2" s="145"/>
      <c r="H2" s="145"/>
      <c r="I2" s="145"/>
      <c r="J2" s="145"/>
      <c r="K2" s="13"/>
      <c r="L2" s="13"/>
      <c r="M2" s="13"/>
      <c r="N2" s="13"/>
    </row>
    <row r="5" spans="6:14" ht="19.5" x14ac:dyDescent="0.25">
      <c r="F5" s="126" t="s">
        <v>76</v>
      </c>
      <c r="G5" s="126"/>
      <c r="H5" s="126"/>
      <c r="I5" s="126"/>
      <c r="J5" s="126"/>
    </row>
    <row r="6" spans="6:14" ht="19.5" x14ac:dyDescent="0.25">
      <c r="F6" s="162" t="s">
        <v>73</v>
      </c>
      <c r="G6" s="162"/>
      <c r="H6" s="162"/>
      <c r="I6" s="162"/>
      <c r="J6" s="162"/>
    </row>
    <row r="7" spans="6:14" ht="19.5" x14ac:dyDescent="0.25">
      <c r="F7" s="162" t="s">
        <v>64</v>
      </c>
      <c r="G7" s="162"/>
      <c r="H7" s="162"/>
      <c r="I7" s="162"/>
      <c r="J7" s="162"/>
    </row>
    <row r="8" spans="6:14" ht="19.5" x14ac:dyDescent="0.25">
      <c r="F8" s="162" t="s">
        <v>65</v>
      </c>
      <c r="G8" s="162"/>
      <c r="H8" s="162"/>
      <c r="I8" s="162"/>
      <c r="J8" s="162"/>
    </row>
    <row r="9" spans="6:14" ht="19.5" x14ac:dyDescent="0.25">
      <c r="F9" s="162" t="s">
        <v>67</v>
      </c>
      <c r="G9" s="162"/>
      <c r="H9" s="162"/>
      <c r="I9" s="162"/>
      <c r="J9" s="162"/>
    </row>
    <row r="10" spans="6:14" ht="19.5" x14ac:dyDescent="0.25">
      <c r="F10" s="162" t="s">
        <v>68</v>
      </c>
      <c r="G10" s="162"/>
      <c r="H10" s="162"/>
      <c r="I10" s="162"/>
      <c r="J10" s="162"/>
    </row>
    <row r="11" spans="6:14" ht="19.5" x14ac:dyDescent="0.25">
      <c r="F11" s="162" t="s">
        <v>69</v>
      </c>
      <c r="G11" s="162"/>
      <c r="H11" s="162"/>
      <c r="I11" s="162"/>
      <c r="J11" s="162"/>
    </row>
    <row r="12" spans="6:14" ht="19.5" x14ac:dyDescent="0.25">
      <c r="F12" s="162" t="s">
        <v>70</v>
      </c>
      <c r="G12" s="162"/>
      <c r="H12" s="162"/>
      <c r="I12" s="162"/>
      <c r="J12" s="162"/>
    </row>
    <row r="13" spans="6:14" ht="19.5" x14ac:dyDescent="0.25">
      <c r="F13" s="162" t="s">
        <v>71</v>
      </c>
      <c r="G13" s="162"/>
      <c r="H13" s="162"/>
      <c r="I13" s="162"/>
      <c r="J13" s="162"/>
    </row>
    <row r="14" spans="6:14" ht="19.5" x14ac:dyDescent="0.25">
      <c r="F14" s="162" t="s">
        <v>66</v>
      </c>
      <c r="G14" s="162"/>
      <c r="H14" s="162"/>
      <c r="I14" s="162"/>
      <c r="J14" s="162"/>
    </row>
    <row r="15" spans="6:14" ht="19.5" x14ac:dyDescent="0.25">
      <c r="F15" s="162" t="s">
        <v>72</v>
      </c>
      <c r="G15" s="162"/>
      <c r="H15" s="162"/>
      <c r="I15" s="162"/>
      <c r="J15" s="162"/>
    </row>
    <row r="16" spans="6:14" ht="19.5" x14ac:dyDescent="0.25">
      <c r="F16" s="162" t="s">
        <v>74</v>
      </c>
      <c r="G16" s="162"/>
      <c r="H16" s="162"/>
      <c r="I16" s="162"/>
      <c r="J16" s="162"/>
    </row>
    <row r="17" spans="6:10" ht="19.5" x14ac:dyDescent="0.25">
      <c r="F17" s="162" t="s">
        <v>75</v>
      </c>
      <c r="G17" s="162"/>
      <c r="H17" s="162"/>
      <c r="I17" s="162"/>
      <c r="J17" s="162"/>
    </row>
    <row r="18" spans="6:10" ht="19.5" x14ac:dyDescent="0.25">
      <c r="F18" s="162" t="s">
        <v>63</v>
      </c>
      <c r="G18" s="162"/>
      <c r="H18" s="162"/>
      <c r="I18" s="162"/>
      <c r="J18" s="162"/>
    </row>
    <row r="19" spans="6:10" ht="19.5" x14ac:dyDescent="0.25">
      <c r="F19" s="162" t="s">
        <v>58</v>
      </c>
      <c r="G19" s="162"/>
      <c r="H19" s="162"/>
      <c r="I19" s="162"/>
      <c r="J19" s="162"/>
    </row>
    <row r="20" spans="6:10" ht="19.5" x14ac:dyDescent="0.25">
      <c r="F20" s="162" t="s">
        <v>53</v>
      </c>
      <c r="G20" s="162"/>
      <c r="H20" s="162"/>
      <c r="I20" s="162"/>
      <c r="J20" s="162"/>
    </row>
    <row r="21" spans="6:10" ht="19.5" x14ac:dyDescent="0.25">
      <c r="F21" s="162" t="s">
        <v>59</v>
      </c>
      <c r="G21" s="162"/>
      <c r="H21" s="162"/>
      <c r="I21" s="162"/>
      <c r="J21" s="162"/>
    </row>
    <row r="22" spans="6:10" ht="19.5" x14ac:dyDescent="0.25">
      <c r="F22" s="162" t="s">
        <v>54</v>
      </c>
      <c r="G22" s="162"/>
      <c r="H22" s="162"/>
      <c r="I22" s="162"/>
      <c r="J22" s="162"/>
    </row>
    <row r="23" spans="6:10" ht="19.5" x14ac:dyDescent="0.25">
      <c r="F23" s="162" t="s">
        <v>55</v>
      </c>
      <c r="G23" s="162"/>
      <c r="H23" s="162"/>
      <c r="I23" s="162"/>
      <c r="J23" s="162"/>
    </row>
    <row r="24" spans="6:10" ht="19.5" x14ac:dyDescent="0.25">
      <c r="F24" s="162" t="s">
        <v>56</v>
      </c>
      <c r="G24" s="162"/>
      <c r="H24" s="162"/>
      <c r="I24" s="162"/>
      <c r="J24" s="162"/>
    </row>
    <row r="25" spans="6:10" ht="19.5" x14ac:dyDescent="0.25">
      <c r="F25" s="162" t="s">
        <v>57</v>
      </c>
      <c r="G25" s="162"/>
      <c r="H25" s="162"/>
      <c r="I25" s="162"/>
      <c r="J25" s="162"/>
    </row>
    <row r="26" spans="6:10" ht="19.5" x14ac:dyDescent="0.25">
      <c r="F26" s="162" t="s">
        <v>60</v>
      </c>
      <c r="G26" s="162"/>
      <c r="H26" s="162"/>
      <c r="I26" s="162"/>
      <c r="J26" s="162"/>
    </row>
    <row r="27" spans="6:10" ht="19.5" x14ac:dyDescent="0.25">
      <c r="F27" s="162" t="s">
        <v>61</v>
      </c>
      <c r="G27" s="162"/>
      <c r="H27" s="162"/>
      <c r="I27" s="162"/>
      <c r="J27" s="162"/>
    </row>
  </sheetData>
  <autoFilter ref="F5:J5" xr:uid="{00000000-0009-0000-0000-000016000000}">
    <filterColumn colId="0" showButton="0"/>
    <filterColumn colId="1" showButton="0"/>
    <filterColumn colId="2" showButton="0"/>
    <filterColumn colId="3" showButton="0"/>
  </autoFilter>
  <sortState xmlns:xlrd2="http://schemas.microsoft.com/office/spreadsheetml/2017/richdata2" ref="F7:J28">
    <sortCondition ref="F7"/>
  </sortState>
  <mergeCells count="24">
    <mergeCell ref="F17:J17"/>
    <mergeCell ref="F16:J16"/>
    <mergeCell ref="F22:J22"/>
    <mergeCell ref="F21:J21"/>
    <mergeCell ref="F20:J20"/>
    <mergeCell ref="F19:J19"/>
    <mergeCell ref="F18:J18"/>
    <mergeCell ref="F27:J27"/>
    <mergeCell ref="F26:J26"/>
    <mergeCell ref="F25:J25"/>
    <mergeCell ref="F24:J24"/>
    <mergeCell ref="F23:J23"/>
    <mergeCell ref="F15:J15"/>
    <mergeCell ref="F14:J14"/>
    <mergeCell ref="F2:J2"/>
    <mergeCell ref="F11:J11"/>
    <mergeCell ref="F10:J10"/>
    <mergeCell ref="F9:J9"/>
    <mergeCell ref="F8:J8"/>
    <mergeCell ref="F7:J7"/>
    <mergeCell ref="F5:J5"/>
    <mergeCell ref="F13:J13"/>
    <mergeCell ref="F12:J12"/>
    <mergeCell ref="F6:J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8AFD-9749-44C4-A36A-0502B69213A3}">
  <sheetPr>
    <tabColor theme="3" tint="-0.249977111117893"/>
  </sheetPr>
  <dimension ref="E2:O21"/>
  <sheetViews>
    <sheetView workbookViewId="0">
      <selection activeCell="E2" sqref="E2:O2"/>
    </sheetView>
  </sheetViews>
  <sheetFormatPr defaultRowHeight="15" x14ac:dyDescent="0.25"/>
  <cols>
    <col min="1" max="4" width="10.7109375" style="1" customWidth="1"/>
    <col min="5" max="16384" width="9.140625" style="1"/>
  </cols>
  <sheetData>
    <row r="2" spans="5:15" ht="32.25" x14ac:dyDescent="0.25">
      <c r="E2" s="145" t="s">
        <v>331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5" spans="5:15" ht="15.75" x14ac:dyDescent="0.25">
      <c r="G5" s="230" t="s">
        <v>332</v>
      </c>
      <c r="H5" s="230"/>
      <c r="I5" s="230"/>
      <c r="J5" s="230"/>
      <c r="K5" s="230"/>
      <c r="L5" s="230"/>
      <c r="M5" s="230"/>
    </row>
    <row r="7" spans="5:15" ht="15.75" x14ac:dyDescent="0.25">
      <c r="G7" s="232">
        <v>0.15</v>
      </c>
      <c r="H7" s="232"/>
      <c r="I7" s="232"/>
      <c r="J7" s="99" t="s">
        <v>301</v>
      </c>
      <c r="K7" s="228">
        <v>480000</v>
      </c>
      <c r="L7" s="228"/>
      <c r="M7" s="228"/>
    </row>
    <row r="8" spans="5:15" ht="15.75" x14ac:dyDescent="0.25">
      <c r="G8" s="95"/>
      <c r="H8" s="95"/>
      <c r="I8" s="95"/>
      <c r="J8" s="95"/>
      <c r="K8" s="95"/>
      <c r="L8" s="95"/>
      <c r="M8" s="95"/>
    </row>
    <row r="9" spans="5:15" ht="15.75" x14ac:dyDescent="0.25">
      <c r="G9" s="226">
        <f>G7*K7</f>
        <v>72000</v>
      </c>
      <c r="H9" s="227"/>
      <c r="I9" s="227"/>
      <c r="J9" s="227"/>
      <c r="K9" s="227"/>
      <c r="L9" s="227"/>
      <c r="M9" s="227"/>
    </row>
    <row r="11" spans="5:15" ht="15.75" x14ac:dyDescent="0.25">
      <c r="G11" s="230" t="s">
        <v>333</v>
      </c>
      <c r="H11" s="230"/>
      <c r="I11" s="230"/>
      <c r="J11" s="230"/>
      <c r="K11" s="230"/>
      <c r="L11" s="230"/>
      <c r="M11" s="230"/>
    </row>
    <row r="13" spans="5:15" ht="15.75" x14ac:dyDescent="0.25">
      <c r="G13" s="228">
        <v>20000</v>
      </c>
      <c r="H13" s="228"/>
      <c r="I13" s="228"/>
      <c r="J13" s="99" t="s">
        <v>301</v>
      </c>
      <c r="K13" s="228">
        <v>200000</v>
      </c>
      <c r="L13" s="228"/>
      <c r="M13" s="228"/>
    </row>
    <row r="14" spans="5:15" ht="15.75" x14ac:dyDescent="0.25">
      <c r="G14" s="95"/>
      <c r="H14" s="95"/>
      <c r="I14" s="95"/>
      <c r="J14" s="95"/>
      <c r="K14" s="95"/>
      <c r="L14" s="95"/>
      <c r="M14" s="95"/>
    </row>
    <row r="15" spans="5:15" ht="15.75" x14ac:dyDescent="0.25">
      <c r="G15" s="229">
        <f>G13/K13</f>
        <v>0.1</v>
      </c>
      <c r="H15" s="229"/>
      <c r="I15" s="229"/>
      <c r="J15" s="229"/>
      <c r="K15" s="229"/>
      <c r="L15" s="229"/>
      <c r="M15" s="229"/>
    </row>
    <row r="17" spans="7:13" ht="15.75" x14ac:dyDescent="0.25">
      <c r="G17" s="230" t="s">
        <v>332</v>
      </c>
      <c r="H17" s="230"/>
      <c r="I17" s="230"/>
      <c r="J17" s="230"/>
      <c r="K17" s="230"/>
      <c r="L17" s="230"/>
      <c r="M17" s="230"/>
    </row>
    <row r="19" spans="7:13" ht="15.75" x14ac:dyDescent="0.25">
      <c r="G19" s="228">
        <v>480000</v>
      </c>
      <c r="H19" s="228"/>
      <c r="I19" s="228"/>
      <c r="J19" s="99" t="s">
        <v>300</v>
      </c>
      <c r="K19" s="231">
        <v>0.2</v>
      </c>
      <c r="L19" s="231"/>
      <c r="M19" s="231"/>
    </row>
    <row r="20" spans="7:13" ht="15.75" x14ac:dyDescent="0.25">
      <c r="G20" s="95"/>
      <c r="H20" s="95"/>
      <c r="I20" s="95"/>
      <c r="J20" s="95"/>
      <c r="K20" s="95"/>
      <c r="L20" s="95"/>
      <c r="M20" s="95"/>
    </row>
    <row r="21" spans="7:13" ht="15.75" x14ac:dyDescent="0.25">
      <c r="G21" s="226">
        <f>G19-(K19*G19)</f>
        <v>384000</v>
      </c>
      <c r="H21" s="227"/>
      <c r="I21" s="227"/>
      <c r="J21" s="227"/>
      <c r="K21" s="227"/>
      <c r="L21" s="227"/>
      <c r="M21" s="227"/>
    </row>
  </sheetData>
  <mergeCells count="13">
    <mergeCell ref="G11:M11"/>
    <mergeCell ref="E2:O2"/>
    <mergeCell ref="G5:M5"/>
    <mergeCell ref="G7:I7"/>
    <mergeCell ref="K7:M7"/>
    <mergeCell ref="G9:M9"/>
    <mergeCell ref="G21:M21"/>
    <mergeCell ref="G13:I13"/>
    <mergeCell ref="K13:M13"/>
    <mergeCell ref="G15:M15"/>
    <mergeCell ref="G17:M17"/>
    <mergeCell ref="G19:I19"/>
    <mergeCell ref="K19:M19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0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1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21">
    <tabColor theme="3" tint="0.39997558519241921"/>
  </sheetPr>
  <dimension ref="D2:M14"/>
  <sheetViews>
    <sheetView workbookViewId="0">
      <selection activeCell="G2" sqref="G2:M2"/>
    </sheetView>
  </sheetViews>
  <sheetFormatPr defaultRowHeight="15" x14ac:dyDescent="0.25"/>
  <cols>
    <col min="1" max="5" width="9.140625" style="2"/>
    <col min="6" max="6" width="9.140625" style="87"/>
    <col min="7" max="7" width="5" style="2" customWidth="1"/>
    <col min="8" max="8" width="10.7109375" style="2" customWidth="1"/>
    <col min="9" max="9" width="19" style="2" customWidth="1"/>
    <col min="10" max="10" width="9.140625" style="2"/>
    <col min="11" max="11" width="5" style="2" customWidth="1"/>
    <col min="12" max="12" width="10.7109375" style="2" customWidth="1"/>
    <col min="13" max="13" width="16.42578125" style="2" customWidth="1"/>
    <col min="14" max="16384" width="9.140625" style="2"/>
  </cols>
  <sheetData>
    <row r="2" spans="4:13" ht="32.25" x14ac:dyDescent="0.25">
      <c r="G2" s="145" t="s">
        <v>339</v>
      </c>
      <c r="H2" s="145"/>
      <c r="I2" s="145"/>
      <c r="J2" s="145"/>
      <c r="K2" s="145"/>
      <c r="L2" s="145"/>
      <c r="M2" s="145"/>
    </row>
    <row r="6" spans="4:13" s="3" customFormat="1" ht="26.25" x14ac:dyDescent="0.25">
      <c r="G6" s="235" t="s">
        <v>41</v>
      </c>
      <c r="H6" s="236"/>
      <c r="I6" s="237"/>
      <c r="K6" s="238" t="s">
        <v>42</v>
      </c>
      <c r="L6" s="239"/>
      <c r="M6" s="240"/>
    </row>
    <row r="8" spans="4:13" ht="31.5" x14ac:dyDescent="0.25">
      <c r="G8" s="241" t="s">
        <v>43</v>
      </c>
      <c r="H8" s="241"/>
      <c r="I8" s="46">
        <v>6.39</v>
      </c>
      <c r="K8" s="242" t="s">
        <v>10</v>
      </c>
      <c r="L8" s="243"/>
      <c r="M8" s="4">
        <v>3.62</v>
      </c>
    </row>
    <row r="10" spans="4:13" ht="31.5" x14ac:dyDescent="0.25">
      <c r="G10" s="5" t="s">
        <v>44</v>
      </c>
      <c r="H10" s="6">
        <v>1</v>
      </c>
      <c r="I10" s="7">
        <f>(($I$8/100)+1)^(H10/252)</f>
        <v>1.0002458294235628</v>
      </c>
      <c r="K10" s="7" t="s">
        <v>44</v>
      </c>
      <c r="L10" s="8">
        <f>H10</f>
        <v>1</v>
      </c>
      <c r="M10" s="9">
        <f>$M$8*I10</f>
        <v>3.6208899025132975</v>
      </c>
    </row>
    <row r="11" spans="4:13" ht="31.5" x14ac:dyDescent="0.25">
      <c r="G11" s="5" t="s">
        <v>44</v>
      </c>
      <c r="H11" s="6">
        <v>2</v>
      </c>
      <c r="I11" s="7">
        <f t="shared" ref="I11:I12" si="0">(($I$8/100)+1)^(H11/252)</f>
        <v>1.0004917192792309</v>
      </c>
      <c r="K11" s="7" t="s">
        <v>44</v>
      </c>
      <c r="L11" s="8">
        <f>H11</f>
        <v>2</v>
      </c>
      <c r="M11" s="9">
        <f t="shared" ref="M11:M12" si="1">$M$8*I11</f>
        <v>3.6217800237908158</v>
      </c>
    </row>
    <row r="12" spans="4:13" ht="31.5" x14ac:dyDescent="0.25">
      <c r="G12" s="14" t="s">
        <v>44</v>
      </c>
      <c r="H12" s="15">
        <v>3</v>
      </c>
      <c r="I12" s="16">
        <f t="shared" si="0"/>
        <v>1.0007376695818606</v>
      </c>
      <c r="K12" s="16" t="s">
        <v>44</v>
      </c>
      <c r="L12" s="17">
        <f>H12</f>
        <v>3</v>
      </c>
      <c r="M12" s="18">
        <f t="shared" si="1"/>
        <v>3.6226703638863356</v>
      </c>
    </row>
    <row r="14" spans="4:13" ht="31.5" x14ac:dyDescent="0.25">
      <c r="D14" s="233" t="s">
        <v>341</v>
      </c>
      <c r="E14" s="234"/>
      <c r="G14" s="14" t="s">
        <v>44</v>
      </c>
      <c r="H14" s="15">
        <v>9</v>
      </c>
      <c r="I14" s="16">
        <f t="shared" ref="I14" si="2">(($I$8/100)+1)^(H14/252)</f>
        <v>1.0022146416162254</v>
      </c>
      <c r="J14" s="87"/>
      <c r="K14" s="16" t="s">
        <v>44</v>
      </c>
      <c r="L14" s="17">
        <f>H14</f>
        <v>9</v>
      </c>
      <c r="M14" s="18">
        <f t="shared" ref="M14" si="3">$M$8*I14</f>
        <v>3.6280170026507363</v>
      </c>
    </row>
  </sheetData>
  <mergeCells count="6">
    <mergeCell ref="D14:E14"/>
    <mergeCell ref="G2:M2"/>
    <mergeCell ref="G6:I6"/>
    <mergeCell ref="K6:M6"/>
    <mergeCell ref="G8:H8"/>
    <mergeCell ref="K8:L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2">
    <tabColor theme="3" tint="-0.249977111117893"/>
    <pageSetUpPr fitToPage="1"/>
  </sheetPr>
  <dimension ref="B2:R49"/>
  <sheetViews>
    <sheetView workbookViewId="0"/>
  </sheetViews>
  <sheetFormatPr defaultRowHeight="15" x14ac:dyDescent="0.25"/>
  <cols>
    <col min="1" max="8" width="7.85546875" style="1" customWidth="1"/>
    <col min="9" max="18" width="10" style="1" customWidth="1"/>
    <col min="19" max="16384" width="9.140625" style="1"/>
  </cols>
  <sheetData>
    <row r="2" spans="2:18" ht="32.25" x14ac:dyDescent="0.25">
      <c r="B2" s="130" t="s">
        <v>84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4" spans="2:18" ht="19.5" x14ac:dyDescent="0.25">
      <c r="B4" s="131" t="s">
        <v>85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6" spans="2:18" ht="19.5" x14ac:dyDescent="0.25">
      <c r="B6" s="126" t="s">
        <v>22</v>
      </c>
      <c r="C6" s="126"/>
      <c r="D6" s="126" t="s">
        <v>52</v>
      </c>
      <c r="E6" s="126"/>
      <c r="F6" s="126"/>
      <c r="G6" s="126"/>
      <c r="H6" s="126"/>
      <c r="I6" s="126" t="s">
        <v>86</v>
      </c>
      <c r="J6" s="126"/>
      <c r="K6" s="126"/>
      <c r="L6" s="126"/>
      <c r="M6" s="126"/>
      <c r="N6" s="126"/>
      <c r="O6" s="126"/>
      <c r="P6" s="126"/>
      <c r="Q6" s="126"/>
      <c r="R6" s="126"/>
    </row>
    <row r="7" spans="2:18" x14ac:dyDescent="0.25">
      <c r="B7" s="129" t="s">
        <v>144</v>
      </c>
      <c r="C7" s="129"/>
      <c r="D7" s="129" t="s">
        <v>145</v>
      </c>
      <c r="E7" s="129"/>
      <c r="F7" s="129"/>
      <c r="G7" s="129"/>
      <c r="H7" s="129"/>
      <c r="I7" s="129" t="s">
        <v>149</v>
      </c>
      <c r="J7" s="129"/>
      <c r="K7" s="129"/>
      <c r="L7" s="129"/>
      <c r="M7" s="129"/>
      <c r="N7" s="129"/>
      <c r="O7" s="129"/>
      <c r="P7" s="129"/>
      <c r="Q7" s="129"/>
      <c r="R7" s="129"/>
    </row>
    <row r="8" spans="2:18" x14ac:dyDescent="0.25">
      <c r="B8" s="129" t="s">
        <v>171</v>
      </c>
      <c r="C8" s="129"/>
      <c r="D8" s="129" t="s">
        <v>172</v>
      </c>
      <c r="E8" s="129"/>
      <c r="F8" s="129"/>
      <c r="G8" s="129"/>
      <c r="H8" s="129"/>
      <c r="I8" s="129" t="s">
        <v>173</v>
      </c>
      <c r="J8" s="129"/>
      <c r="K8" s="129"/>
      <c r="L8" s="129"/>
      <c r="M8" s="129"/>
      <c r="N8" s="129"/>
      <c r="O8" s="129"/>
      <c r="P8" s="129"/>
      <c r="Q8" s="129"/>
      <c r="R8" s="129"/>
    </row>
    <row r="9" spans="2:18" x14ac:dyDescent="0.25">
      <c r="B9" s="129" t="s">
        <v>146</v>
      </c>
      <c r="C9" s="129"/>
      <c r="D9" s="129" t="s">
        <v>147</v>
      </c>
      <c r="E9" s="129"/>
      <c r="F9" s="129"/>
      <c r="G9" s="129"/>
      <c r="H9" s="129"/>
      <c r="I9" s="129" t="s">
        <v>148</v>
      </c>
      <c r="J9" s="129"/>
      <c r="K9" s="129"/>
      <c r="L9" s="129"/>
      <c r="M9" s="129"/>
      <c r="N9" s="129"/>
      <c r="O9" s="129"/>
      <c r="P9" s="129"/>
      <c r="Q9" s="129"/>
      <c r="R9" s="129"/>
    </row>
    <row r="10" spans="2:18" x14ac:dyDescent="0.25">
      <c r="B10" s="129" t="s">
        <v>207</v>
      </c>
      <c r="C10" s="129"/>
      <c r="D10" s="129" t="s">
        <v>208</v>
      </c>
      <c r="E10" s="129"/>
      <c r="F10" s="129"/>
      <c r="G10" s="129"/>
      <c r="H10" s="129"/>
      <c r="I10" s="129" t="s">
        <v>209</v>
      </c>
      <c r="J10" s="129"/>
      <c r="K10" s="129"/>
      <c r="L10" s="129"/>
      <c r="M10" s="129"/>
      <c r="N10" s="129"/>
      <c r="O10" s="129"/>
      <c r="P10" s="129"/>
      <c r="Q10" s="129"/>
      <c r="R10" s="129"/>
    </row>
    <row r="11" spans="2:18" x14ac:dyDescent="0.25">
      <c r="B11" s="129" t="s">
        <v>87</v>
      </c>
      <c r="C11" s="129"/>
      <c r="D11" s="129" t="s">
        <v>88</v>
      </c>
      <c r="E11" s="129"/>
      <c r="F11" s="129"/>
      <c r="G11" s="129"/>
      <c r="H11" s="129"/>
      <c r="I11" s="129" t="s">
        <v>89</v>
      </c>
      <c r="J11" s="129"/>
      <c r="K11" s="129"/>
      <c r="L11" s="129"/>
      <c r="M11" s="129"/>
      <c r="N11" s="129"/>
      <c r="O11" s="129"/>
      <c r="P11" s="129"/>
      <c r="Q11" s="129"/>
      <c r="R11" s="129"/>
    </row>
    <row r="12" spans="2:18" x14ac:dyDescent="0.25">
      <c r="B12" s="129" t="s">
        <v>198</v>
      </c>
      <c r="C12" s="129"/>
      <c r="D12" s="129" t="s">
        <v>199</v>
      </c>
      <c r="E12" s="129"/>
      <c r="F12" s="129"/>
      <c r="G12" s="129"/>
      <c r="H12" s="129"/>
      <c r="I12" s="129" t="s">
        <v>200</v>
      </c>
      <c r="J12" s="129"/>
      <c r="K12" s="129"/>
      <c r="L12" s="129"/>
      <c r="M12" s="129"/>
      <c r="N12" s="129"/>
      <c r="O12" s="129"/>
      <c r="P12" s="129"/>
      <c r="Q12" s="129"/>
      <c r="R12" s="129"/>
    </row>
    <row r="13" spans="2:18" x14ac:dyDescent="0.25">
      <c r="B13" s="129" t="s">
        <v>195</v>
      </c>
      <c r="C13" s="129"/>
      <c r="D13" s="129" t="s">
        <v>196</v>
      </c>
      <c r="E13" s="129"/>
      <c r="F13" s="129"/>
      <c r="G13" s="129"/>
      <c r="H13" s="129"/>
      <c r="I13" s="129" t="s">
        <v>197</v>
      </c>
      <c r="J13" s="129"/>
      <c r="K13" s="129"/>
      <c r="L13" s="129"/>
      <c r="M13" s="129"/>
      <c r="N13" s="129"/>
      <c r="O13" s="129"/>
      <c r="P13" s="129"/>
      <c r="Q13" s="129"/>
      <c r="R13" s="129"/>
    </row>
    <row r="14" spans="2:18" x14ac:dyDescent="0.25">
      <c r="B14" s="129" t="s">
        <v>183</v>
      </c>
      <c r="C14" s="129"/>
      <c r="D14" s="129" t="s">
        <v>184</v>
      </c>
      <c r="E14" s="129"/>
      <c r="F14" s="129"/>
      <c r="G14" s="129"/>
      <c r="H14" s="129"/>
      <c r="I14" s="129" t="s">
        <v>185</v>
      </c>
      <c r="J14" s="129"/>
      <c r="K14" s="129"/>
      <c r="L14" s="129"/>
      <c r="M14" s="129"/>
      <c r="N14" s="129"/>
      <c r="O14" s="129"/>
      <c r="P14" s="129"/>
      <c r="Q14" s="129"/>
      <c r="R14" s="129"/>
    </row>
    <row r="15" spans="2:18" x14ac:dyDescent="0.25">
      <c r="B15" s="129" t="s">
        <v>201</v>
      </c>
      <c r="C15" s="129"/>
      <c r="D15" s="129" t="s">
        <v>202</v>
      </c>
      <c r="E15" s="129"/>
      <c r="F15" s="129"/>
      <c r="G15" s="129"/>
      <c r="H15" s="129"/>
      <c r="I15" s="129" t="s">
        <v>203</v>
      </c>
      <c r="J15" s="129"/>
      <c r="K15" s="129"/>
      <c r="L15" s="129"/>
      <c r="M15" s="129"/>
      <c r="N15" s="129"/>
      <c r="O15" s="129"/>
      <c r="P15" s="129"/>
      <c r="Q15" s="129"/>
      <c r="R15" s="129"/>
    </row>
    <row r="16" spans="2:18" x14ac:dyDescent="0.25">
      <c r="B16" s="129" t="s">
        <v>162</v>
      </c>
      <c r="C16" s="129"/>
      <c r="D16" s="129" t="s">
        <v>163</v>
      </c>
      <c r="E16" s="129"/>
      <c r="F16" s="129"/>
      <c r="G16" s="129"/>
      <c r="H16" s="129"/>
      <c r="I16" s="129" t="s">
        <v>164</v>
      </c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x14ac:dyDescent="0.25">
      <c r="B17" s="129" t="s">
        <v>90</v>
      </c>
      <c r="C17" s="129"/>
      <c r="D17" s="129" t="s">
        <v>91</v>
      </c>
      <c r="E17" s="129"/>
      <c r="F17" s="129"/>
      <c r="G17" s="129"/>
      <c r="H17" s="129"/>
      <c r="I17" s="129" t="s">
        <v>92</v>
      </c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x14ac:dyDescent="0.25">
      <c r="B18" s="129" t="s">
        <v>93</v>
      </c>
      <c r="C18" s="129"/>
      <c r="D18" s="129" t="s">
        <v>94</v>
      </c>
      <c r="E18" s="129"/>
      <c r="F18" s="129"/>
      <c r="G18" s="129"/>
      <c r="H18" s="129"/>
      <c r="I18" s="129" t="s">
        <v>95</v>
      </c>
      <c r="J18" s="129"/>
      <c r="K18" s="129"/>
      <c r="L18" s="129"/>
      <c r="M18" s="129"/>
      <c r="N18" s="129"/>
      <c r="O18" s="129"/>
      <c r="P18" s="129"/>
      <c r="Q18" s="129"/>
      <c r="R18" s="129"/>
    </row>
    <row r="19" spans="2:18" x14ac:dyDescent="0.25">
      <c r="B19" s="129" t="s">
        <v>96</v>
      </c>
      <c r="C19" s="129"/>
      <c r="D19" s="129" t="s">
        <v>97</v>
      </c>
      <c r="E19" s="129"/>
      <c r="F19" s="129"/>
      <c r="G19" s="129"/>
      <c r="H19" s="129"/>
      <c r="I19" s="129" t="s">
        <v>98</v>
      </c>
      <c r="J19" s="129"/>
      <c r="K19" s="129"/>
      <c r="L19" s="129"/>
      <c r="M19" s="129"/>
      <c r="N19" s="129"/>
      <c r="O19" s="129"/>
      <c r="P19" s="129"/>
      <c r="Q19" s="129"/>
      <c r="R19" s="129"/>
    </row>
    <row r="20" spans="2:18" x14ac:dyDescent="0.25">
      <c r="B20" s="129" t="s">
        <v>99</v>
      </c>
      <c r="C20" s="129"/>
      <c r="D20" s="129" t="s">
        <v>100</v>
      </c>
      <c r="E20" s="129"/>
      <c r="F20" s="129"/>
      <c r="G20" s="129"/>
      <c r="H20" s="129"/>
      <c r="I20" s="129" t="s">
        <v>101</v>
      </c>
      <c r="J20" s="129"/>
      <c r="K20" s="129"/>
      <c r="L20" s="129"/>
      <c r="M20" s="129"/>
      <c r="N20" s="129"/>
      <c r="O20" s="129"/>
      <c r="P20" s="129"/>
      <c r="Q20" s="129"/>
      <c r="R20" s="129"/>
    </row>
    <row r="21" spans="2:18" x14ac:dyDescent="0.25">
      <c r="B21" s="129" t="s">
        <v>204</v>
      </c>
      <c r="C21" s="129"/>
      <c r="D21" s="129" t="s">
        <v>205</v>
      </c>
      <c r="E21" s="129"/>
      <c r="F21" s="129"/>
      <c r="G21" s="129"/>
      <c r="H21" s="129"/>
      <c r="I21" s="129" t="s">
        <v>206</v>
      </c>
      <c r="J21" s="129"/>
      <c r="K21" s="129"/>
      <c r="L21" s="129"/>
      <c r="M21" s="129"/>
      <c r="N21" s="129"/>
      <c r="O21" s="129"/>
      <c r="P21" s="129"/>
      <c r="Q21" s="129"/>
      <c r="R21" s="129"/>
    </row>
    <row r="22" spans="2:18" x14ac:dyDescent="0.25">
      <c r="B22" s="129" t="s">
        <v>165</v>
      </c>
      <c r="C22" s="129"/>
      <c r="D22" s="129" t="s">
        <v>166</v>
      </c>
      <c r="E22" s="129"/>
      <c r="F22" s="129"/>
      <c r="G22" s="129"/>
      <c r="H22" s="129"/>
      <c r="I22" s="129" t="s">
        <v>167</v>
      </c>
      <c r="J22" s="129"/>
      <c r="K22" s="129"/>
      <c r="L22" s="129"/>
      <c r="M22" s="129"/>
      <c r="N22" s="129"/>
      <c r="O22" s="129"/>
      <c r="P22" s="129"/>
      <c r="Q22" s="129"/>
      <c r="R22" s="129"/>
    </row>
    <row r="23" spans="2:18" x14ac:dyDescent="0.25">
      <c r="B23" s="129" t="s">
        <v>168</v>
      </c>
      <c r="C23" s="129"/>
      <c r="D23" s="129" t="s">
        <v>169</v>
      </c>
      <c r="E23" s="129"/>
      <c r="F23" s="129"/>
      <c r="G23" s="129"/>
      <c r="H23" s="129"/>
      <c r="I23" s="129" t="s">
        <v>170</v>
      </c>
      <c r="J23" s="129"/>
      <c r="K23" s="129"/>
      <c r="L23" s="129"/>
      <c r="M23" s="129"/>
      <c r="N23" s="129"/>
      <c r="O23" s="129"/>
      <c r="P23" s="129"/>
      <c r="Q23" s="129"/>
      <c r="R23" s="129"/>
    </row>
    <row r="24" spans="2:18" x14ac:dyDescent="0.25">
      <c r="B24" s="129" t="s">
        <v>102</v>
      </c>
      <c r="C24" s="129"/>
      <c r="D24" s="129" t="s">
        <v>103</v>
      </c>
      <c r="E24" s="129"/>
      <c r="F24" s="129"/>
      <c r="G24" s="129"/>
      <c r="H24" s="129"/>
      <c r="I24" s="129" t="s">
        <v>104</v>
      </c>
      <c r="J24" s="129"/>
      <c r="K24" s="129"/>
      <c r="L24" s="129"/>
      <c r="M24" s="129"/>
      <c r="N24" s="129"/>
      <c r="O24" s="129"/>
      <c r="P24" s="129"/>
      <c r="Q24" s="129"/>
      <c r="R24" s="129"/>
    </row>
    <row r="25" spans="2:18" x14ac:dyDescent="0.25">
      <c r="B25" s="129" t="s">
        <v>150</v>
      </c>
      <c r="C25" s="129"/>
      <c r="D25" s="129" t="s">
        <v>151</v>
      </c>
      <c r="E25" s="129"/>
      <c r="F25" s="129"/>
      <c r="G25" s="129"/>
      <c r="H25" s="129"/>
      <c r="I25" s="129" t="s">
        <v>152</v>
      </c>
      <c r="J25" s="129"/>
      <c r="K25" s="129"/>
      <c r="L25" s="129"/>
      <c r="M25" s="129"/>
      <c r="N25" s="129"/>
      <c r="O25" s="129"/>
      <c r="P25" s="129"/>
      <c r="Q25" s="129"/>
      <c r="R25" s="129"/>
    </row>
    <row r="26" spans="2:18" x14ac:dyDescent="0.25">
      <c r="B26" s="129" t="s">
        <v>174</v>
      </c>
      <c r="C26" s="129"/>
      <c r="D26" s="129" t="s">
        <v>175</v>
      </c>
      <c r="E26" s="129"/>
      <c r="F26" s="129"/>
      <c r="G26" s="129"/>
      <c r="H26" s="129"/>
      <c r="I26" s="129" t="s">
        <v>176</v>
      </c>
      <c r="J26" s="129"/>
      <c r="K26" s="129"/>
      <c r="L26" s="129"/>
      <c r="M26" s="129"/>
      <c r="N26" s="129"/>
      <c r="O26" s="129"/>
      <c r="P26" s="129"/>
      <c r="Q26" s="129"/>
      <c r="R26" s="129"/>
    </row>
    <row r="27" spans="2:18" x14ac:dyDescent="0.25">
      <c r="B27" s="129" t="s">
        <v>177</v>
      </c>
      <c r="C27" s="129"/>
      <c r="D27" s="129" t="s">
        <v>178</v>
      </c>
      <c r="E27" s="129"/>
      <c r="F27" s="129"/>
      <c r="G27" s="129"/>
      <c r="H27" s="129"/>
      <c r="I27" s="129" t="s">
        <v>179</v>
      </c>
      <c r="J27" s="129"/>
      <c r="K27" s="129"/>
      <c r="L27" s="129"/>
      <c r="M27" s="129"/>
      <c r="N27" s="129"/>
      <c r="O27" s="129"/>
      <c r="P27" s="129"/>
      <c r="Q27" s="129"/>
      <c r="R27" s="129"/>
    </row>
    <row r="28" spans="2:18" x14ac:dyDescent="0.25">
      <c r="B28" s="129" t="s">
        <v>186</v>
      </c>
      <c r="C28" s="129"/>
      <c r="D28" s="129" t="s">
        <v>187</v>
      </c>
      <c r="E28" s="129"/>
      <c r="F28" s="129"/>
      <c r="G28" s="129"/>
      <c r="H28" s="129"/>
      <c r="I28" s="129" t="s">
        <v>188</v>
      </c>
      <c r="J28" s="129"/>
      <c r="K28" s="129"/>
      <c r="L28" s="129"/>
      <c r="M28" s="129"/>
      <c r="N28" s="129"/>
      <c r="O28" s="129"/>
      <c r="P28" s="129"/>
      <c r="Q28" s="129"/>
      <c r="R28" s="129"/>
    </row>
    <row r="29" spans="2:18" x14ac:dyDescent="0.25">
      <c r="B29" s="129" t="s">
        <v>189</v>
      </c>
      <c r="C29" s="129"/>
      <c r="D29" s="129" t="s">
        <v>190</v>
      </c>
      <c r="E29" s="129"/>
      <c r="F29" s="129"/>
      <c r="G29" s="129"/>
      <c r="H29" s="129"/>
      <c r="I29" s="129" t="s">
        <v>191</v>
      </c>
      <c r="J29" s="129"/>
      <c r="K29" s="129"/>
      <c r="L29" s="129"/>
      <c r="M29" s="129"/>
      <c r="N29" s="129"/>
      <c r="O29" s="129"/>
      <c r="P29" s="129"/>
      <c r="Q29" s="129"/>
      <c r="R29" s="129"/>
    </row>
    <row r="30" spans="2:18" x14ac:dyDescent="0.25">
      <c r="B30" s="129" t="s">
        <v>180</v>
      </c>
      <c r="C30" s="129"/>
      <c r="D30" s="129" t="s">
        <v>181</v>
      </c>
      <c r="E30" s="129"/>
      <c r="F30" s="129"/>
      <c r="G30" s="129"/>
      <c r="H30" s="129"/>
      <c r="I30" s="129" t="s">
        <v>182</v>
      </c>
      <c r="J30" s="129"/>
      <c r="K30" s="129"/>
      <c r="L30" s="129"/>
      <c r="M30" s="129"/>
      <c r="N30" s="129"/>
      <c r="O30" s="129"/>
      <c r="P30" s="129"/>
      <c r="Q30" s="129"/>
      <c r="R30" s="129"/>
    </row>
    <row r="31" spans="2:18" x14ac:dyDescent="0.25">
      <c r="B31" s="129" t="s">
        <v>159</v>
      </c>
      <c r="C31" s="129"/>
      <c r="D31" s="129" t="s">
        <v>160</v>
      </c>
      <c r="E31" s="129"/>
      <c r="F31" s="129"/>
      <c r="G31" s="129"/>
      <c r="H31" s="129"/>
      <c r="I31" s="129" t="s">
        <v>161</v>
      </c>
      <c r="J31" s="129"/>
      <c r="K31" s="129"/>
      <c r="L31" s="129"/>
      <c r="M31" s="129"/>
      <c r="N31" s="129"/>
      <c r="O31" s="129"/>
      <c r="P31" s="129"/>
      <c r="Q31" s="129"/>
      <c r="R31" s="129"/>
    </row>
    <row r="32" spans="2:18" x14ac:dyDescent="0.25">
      <c r="B32" s="129" t="s">
        <v>210</v>
      </c>
      <c r="C32" s="129"/>
      <c r="D32" s="129" t="s">
        <v>211</v>
      </c>
      <c r="E32" s="129"/>
      <c r="F32" s="129"/>
      <c r="G32" s="129"/>
      <c r="H32" s="129"/>
      <c r="I32" s="129" t="s">
        <v>212</v>
      </c>
      <c r="J32" s="129"/>
      <c r="K32" s="129"/>
      <c r="L32" s="129"/>
      <c r="M32" s="129"/>
      <c r="N32" s="129"/>
      <c r="O32" s="129"/>
      <c r="P32" s="129"/>
      <c r="Q32" s="129"/>
      <c r="R32" s="129"/>
    </row>
    <row r="33" spans="2:18" x14ac:dyDescent="0.25">
      <c r="B33" s="129" t="s">
        <v>156</v>
      </c>
      <c r="C33" s="129"/>
      <c r="D33" s="129" t="s">
        <v>157</v>
      </c>
      <c r="E33" s="129"/>
      <c r="F33" s="129"/>
      <c r="G33" s="129"/>
      <c r="H33" s="129"/>
      <c r="I33" s="129" t="s">
        <v>158</v>
      </c>
      <c r="J33" s="129"/>
      <c r="K33" s="129"/>
      <c r="L33" s="129"/>
      <c r="M33" s="129"/>
      <c r="N33" s="129"/>
      <c r="O33" s="129"/>
      <c r="P33" s="129"/>
      <c r="Q33" s="129"/>
      <c r="R33" s="129"/>
    </row>
    <row r="34" spans="2:18" x14ac:dyDescent="0.25">
      <c r="B34" s="129" t="s">
        <v>153</v>
      </c>
      <c r="C34" s="129"/>
      <c r="D34" s="129" t="s">
        <v>154</v>
      </c>
      <c r="E34" s="129"/>
      <c r="F34" s="129"/>
      <c r="G34" s="129"/>
      <c r="H34" s="129"/>
      <c r="I34" s="129" t="s">
        <v>155</v>
      </c>
      <c r="J34" s="129"/>
      <c r="K34" s="129"/>
      <c r="L34" s="129"/>
      <c r="M34" s="129"/>
      <c r="N34" s="129"/>
      <c r="O34" s="129"/>
      <c r="P34" s="129"/>
      <c r="Q34" s="129"/>
      <c r="R34" s="129"/>
    </row>
    <row r="35" spans="2:18" x14ac:dyDescent="0.25">
      <c r="B35" s="129" t="s">
        <v>142</v>
      </c>
      <c r="C35" s="129"/>
      <c r="D35" s="129" t="s">
        <v>143</v>
      </c>
      <c r="E35" s="129"/>
      <c r="F35" s="129"/>
      <c r="G35" s="129"/>
      <c r="H35" s="129"/>
      <c r="I35" s="129" t="s">
        <v>89</v>
      </c>
      <c r="J35" s="129"/>
      <c r="K35" s="129"/>
      <c r="L35" s="129"/>
      <c r="M35" s="129"/>
      <c r="N35" s="129"/>
      <c r="O35" s="129"/>
      <c r="P35" s="129"/>
      <c r="Q35" s="129"/>
      <c r="R35" s="129"/>
    </row>
    <row r="36" spans="2:18" x14ac:dyDescent="0.25">
      <c r="B36" s="132" t="s">
        <v>105</v>
      </c>
      <c r="C36" s="133"/>
      <c r="D36" s="129" t="s">
        <v>106</v>
      </c>
      <c r="E36" s="129"/>
      <c r="F36" s="129"/>
      <c r="G36" s="129"/>
      <c r="H36" s="129"/>
      <c r="I36" s="129" t="s">
        <v>107</v>
      </c>
      <c r="J36" s="129"/>
      <c r="K36" s="129"/>
      <c r="L36" s="129"/>
      <c r="M36" s="129"/>
      <c r="N36" s="129"/>
      <c r="O36" s="129"/>
      <c r="P36" s="129"/>
      <c r="Q36" s="129"/>
      <c r="R36" s="129"/>
    </row>
    <row r="37" spans="2:18" x14ac:dyDescent="0.25">
      <c r="B37" s="129" t="s">
        <v>108</v>
      </c>
      <c r="C37" s="129"/>
      <c r="D37" s="129" t="s">
        <v>109</v>
      </c>
      <c r="E37" s="129"/>
      <c r="F37" s="129"/>
      <c r="G37" s="129"/>
      <c r="H37" s="129"/>
      <c r="I37" s="129" t="s">
        <v>110</v>
      </c>
      <c r="J37" s="129"/>
      <c r="K37" s="129"/>
      <c r="L37" s="129"/>
      <c r="M37" s="129"/>
      <c r="N37" s="129"/>
      <c r="O37" s="129"/>
      <c r="P37" s="129"/>
      <c r="Q37" s="129"/>
      <c r="R37" s="129"/>
    </row>
    <row r="38" spans="2:18" x14ac:dyDescent="0.25">
      <c r="B38" s="129" t="s">
        <v>111</v>
      </c>
      <c r="C38" s="129"/>
      <c r="D38" s="129" t="s">
        <v>112</v>
      </c>
      <c r="E38" s="129"/>
      <c r="F38" s="129"/>
      <c r="G38" s="129"/>
      <c r="H38" s="129"/>
      <c r="I38" s="129" t="s">
        <v>113</v>
      </c>
      <c r="J38" s="129"/>
      <c r="K38" s="129"/>
      <c r="L38" s="129"/>
      <c r="M38" s="129"/>
      <c r="N38" s="129"/>
      <c r="O38" s="129"/>
      <c r="P38" s="129"/>
      <c r="Q38" s="129"/>
      <c r="R38" s="129"/>
    </row>
    <row r="39" spans="2:18" x14ac:dyDescent="0.25">
      <c r="B39" s="129" t="s">
        <v>192</v>
      </c>
      <c r="C39" s="129"/>
      <c r="D39" s="129" t="s">
        <v>193</v>
      </c>
      <c r="E39" s="129"/>
      <c r="F39" s="129"/>
      <c r="G39" s="129"/>
      <c r="H39" s="129"/>
      <c r="I39" s="129" t="s">
        <v>194</v>
      </c>
      <c r="J39" s="129"/>
      <c r="K39" s="129"/>
      <c r="L39" s="129"/>
      <c r="M39" s="129"/>
      <c r="N39" s="129"/>
      <c r="O39" s="129"/>
      <c r="P39" s="129"/>
      <c r="Q39" s="129"/>
      <c r="R39" s="129"/>
    </row>
    <row r="41" spans="2:18" ht="19.5" x14ac:dyDescent="0.25">
      <c r="B41" s="131" t="s">
        <v>127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3" spans="2:18" ht="19.5" x14ac:dyDescent="0.25">
      <c r="B43" s="137" t="s">
        <v>114</v>
      </c>
      <c r="C43" s="138"/>
      <c r="D43" s="134" t="s">
        <v>86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2:18" x14ac:dyDescent="0.25">
      <c r="B44" s="129" t="s">
        <v>115</v>
      </c>
      <c r="C44" s="129"/>
      <c r="D44" s="129" t="s">
        <v>116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2:18" x14ac:dyDescent="0.25">
      <c r="B45" s="129" t="s">
        <v>117</v>
      </c>
      <c r="C45" s="129"/>
      <c r="D45" s="136" t="s">
        <v>118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</row>
    <row r="46" spans="2:18" x14ac:dyDescent="0.25">
      <c r="B46" s="129" t="s">
        <v>119</v>
      </c>
      <c r="C46" s="129"/>
      <c r="D46" s="136" t="s">
        <v>120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</row>
    <row r="47" spans="2:18" x14ac:dyDescent="0.25">
      <c r="B47" s="129" t="s">
        <v>121</v>
      </c>
      <c r="C47" s="129"/>
      <c r="D47" s="136" t="s">
        <v>122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</row>
    <row r="48" spans="2:18" x14ac:dyDescent="0.25">
      <c r="B48" s="129" t="s">
        <v>123</v>
      </c>
      <c r="C48" s="129"/>
      <c r="D48" s="136" t="s">
        <v>124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2:18" x14ac:dyDescent="0.25">
      <c r="B49" s="129" t="s">
        <v>125</v>
      </c>
      <c r="C49" s="129"/>
      <c r="D49" s="136" t="s">
        <v>126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</row>
  </sheetData>
  <mergeCells count="119">
    <mergeCell ref="B30:C30"/>
    <mergeCell ref="D30:H30"/>
    <mergeCell ref="I30:R30"/>
    <mergeCell ref="B14:C14"/>
    <mergeCell ref="D14:H14"/>
    <mergeCell ref="I14:R14"/>
    <mergeCell ref="B28:C28"/>
    <mergeCell ref="D28:H28"/>
    <mergeCell ref="I28:R28"/>
    <mergeCell ref="B29:C29"/>
    <mergeCell ref="D29:H29"/>
    <mergeCell ref="I29:R29"/>
    <mergeCell ref="B15:C15"/>
    <mergeCell ref="D15:H15"/>
    <mergeCell ref="I15:R15"/>
    <mergeCell ref="B21:C21"/>
    <mergeCell ref="B26:C26"/>
    <mergeCell ref="D26:H26"/>
    <mergeCell ref="I26:R26"/>
    <mergeCell ref="B27:C27"/>
    <mergeCell ref="D27:H27"/>
    <mergeCell ref="I27:R27"/>
    <mergeCell ref="B23:C23"/>
    <mergeCell ref="D23:H23"/>
    <mergeCell ref="I23:R23"/>
    <mergeCell ref="B8:C8"/>
    <mergeCell ref="D8:H8"/>
    <mergeCell ref="I8:R8"/>
    <mergeCell ref="B13:C13"/>
    <mergeCell ref="D13:H13"/>
    <mergeCell ref="I13:R13"/>
    <mergeCell ref="B12:C12"/>
    <mergeCell ref="D12:H12"/>
    <mergeCell ref="I12:R12"/>
    <mergeCell ref="D21:H21"/>
    <mergeCell ref="I21:R21"/>
    <mergeCell ref="B10:C10"/>
    <mergeCell ref="D10:H10"/>
    <mergeCell ref="B16:C16"/>
    <mergeCell ref="D16:H16"/>
    <mergeCell ref="I16:R16"/>
    <mergeCell ref="B22:C22"/>
    <mergeCell ref="D22:H22"/>
    <mergeCell ref="I22:R22"/>
    <mergeCell ref="B19:C19"/>
    <mergeCell ref="D19:H19"/>
    <mergeCell ref="I19:R19"/>
    <mergeCell ref="B20:C20"/>
    <mergeCell ref="B41:R41"/>
    <mergeCell ref="B49:C49"/>
    <mergeCell ref="D43:R43"/>
    <mergeCell ref="D44:R44"/>
    <mergeCell ref="D49:R49"/>
    <mergeCell ref="D48:R48"/>
    <mergeCell ref="D47:R47"/>
    <mergeCell ref="D46:R46"/>
    <mergeCell ref="D45:R45"/>
    <mergeCell ref="B46:C46"/>
    <mergeCell ref="B47:C47"/>
    <mergeCell ref="B48:C48"/>
    <mergeCell ref="B43:C43"/>
    <mergeCell ref="B44:C44"/>
    <mergeCell ref="B45:C45"/>
    <mergeCell ref="B37:C37"/>
    <mergeCell ref="D37:H37"/>
    <mergeCell ref="I37:R37"/>
    <mergeCell ref="B39:C39"/>
    <mergeCell ref="D39:H39"/>
    <mergeCell ref="I39:R39"/>
    <mergeCell ref="B38:C38"/>
    <mergeCell ref="D38:H38"/>
    <mergeCell ref="I38:R38"/>
    <mergeCell ref="B24:C24"/>
    <mergeCell ref="D24:H24"/>
    <mergeCell ref="I24:R24"/>
    <mergeCell ref="B36:C36"/>
    <mergeCell ref="D36:H36"/>
    <mergeCell ref="I36:R36"/>
    <mergeCell ref="B35:C35"/>
    <mergeCell ref="D35:H35"/>
    <mergeCell ref="I35:R35"/>
    <mergeCell ref="B25:C25"/>
    <mergeCell ref="D25:H25"/>
    <mergeCell ref="I25:R25"/>
    <mergeCell ref="B34:C34"/>
    <mergeCell ref="D34:H34"/>
    <mergeCell ref="I34:R34"/>
    <mergeCell ref="B33:C33"/>
    <mergeCell ref="D33:H33"/>
    <mergeCell ref="I33:R33"/>
    <mergeCell ref="B31:C31"/>
    <mergeCell ref="D31:H31"/>
    <mergeCell ref="I31:R31"/>
    <mergeCell ref="B32:C32"/>
    <mergeCell ref="D32:H32"/>
    <mergeCell ref="I32:R32"/>
    <mergeCell ref="D20:H20"/>
    <mergeCell ref="I20:R20"/>
    <mergeCell ref="B17:C17"/>
    <mergeCell ref="D17:H17"/>
    <mergeCell ref="I17:R17"/>
    <mergeCell ref="B18:C18"/>
    <mergeCell ref="D18:H18"/>
    <mergeCell ref="I18:R18"/>
    <mergeCell ref="B2:R2"/>
    <mergeCell ref="B6:C6"/>
    <mergeCell ref="D6:H6"/>
    <mergeCell ref="I6:R6"/>
    <mergeCell ref="B7:C7"/>
    <mergeCell ref="D7:H7"/>
    <mergeCell ref="I7:R7"/>
    <mergeCell ref="B4:R4"/>
    <mergeCell ref="B11:C11"/>
    <mergeCell ref="D11:H11"/>
    <mergeCell ref="I11:R11"/>
    <mergeCell ref="B9:C9"/>
    <mergeCell ref="D9:H9"/>
    <mergeCell ref="I9:R9"/>
    <mergeCell ref="I10:R10"/>
  </mergeCells>
  <pageMargins left="0.511811024" right="0.511811024" top="0.78740157499999996" bottom="0.78740157499999996" header="0.31496062000000002" footer="0.31496062000000002"/>
  <pageSetup paperSize="9" scale="6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ilha22">
    <tabColor theme="3" tint="-0.249977111117893"/>
  </sheetPr>
  <dimension ref="D2:M14"/>
  <sheetViews>
    <sheetView workbookViewId="0"/>
  </sheetViews>
  <sheetFormatPr defaultRowHeight="15" x14ac:dyDescent="0.25"/>
  <cols>
    <col min="1" max="5" width="9.140625" style="2"/>
    <col min="6" max="6" width="9.140625" style="87"/>
    <col min="7" max="7" width="5" style="2" customWidth="1"/>
    <col min="8" max="8" width="10.7109375" style="2" customWidth="1"/>
    <col min="9" max="9" width="19" style="2" customWidth="1"/>
    <col min="10" max="10" width="9.140625" style="2"/>
    <col min="11" max="11" width="5" style="2" customWidth="1"/>
    <col min="12" max="12" width="10.7109375" style="2" customWidth="1"/>
    <col min="13" max="13" width="16.42578125" style="2" customWidth="1"/>
    <col min="14" max="16384" width="9.140625" style="2"/>
  </cols>
  <sheetData>
    <row r="2" spans="4:13" ht="32.25" x14ac:dyDescent="0.25">
      <c r="G2" s="145" t="s">
        <v>340</v>
      </c>
      <c r="H2" s="145"/>
      <c r="I2" s="145"/>
      <c r="J2" s="145"/>
      <c r="K2" s="145"/>
      <c r="L2" s="145"/>
      <c r="M2" s="145"/>
    </row>
    <row r="6" spans="4:13" s="3" customFormat="1" ht="26.25" x14ac:dyDescent="0.25">
      <c r="G6" s="235" t="s">
        <v>41</v>
      </c>
      <c r="H6" s="236"/>
      <c r="I6" s="237"/>
      <c r="K6" s="238" t="s">
        <v>45</v>
      </c>
      <c r="L6" s="239"/>
      <c r="M6" s="240"/>
    </row>
    <row r="8" spans="4:13" ht="31.5" x14ac:dyDescent="0.25">
      <c r="G8" s="241" t="s">
        <v>43</v>
      </c>
      <c r="H8" s="241"/>
      <c r="I8" s="46">
        <v>6.39</v>
      </c>
      <c r="K8" s="242" t="s">
        <v>10</v>
      </c>
      <c r="L8" s="243"/>
      <c r="M8" s="4">
        <v>3.3462999999999998</v>
      </c>
    </row>
    <row r="10" spans="4:13" ht="31.5" x14ac:dyDescent="0.25">
      <c r="G10" s="5" t="s">
        <v>44</v>
      </c>
      <c r="H10" s="6">
        <v>1</v>
      </c>
      <c r="I10" s="7">
        <f>(($I$8/100)+1)^(H10/252)</f>
        <v>1.0002458294235628</v>
      </c>
      <c r="K10" s="7" t="s">
        <v>44</v>
      </c>
      <c r="L10" s="8">
        <f>H10</f>
        <v>1</v>
      </c>
      <c r="M10" s="9">
        <f>$M$8/I10</f>
        <v>3.3454775831741861</v>
      </c>
    </row>
    <row r="11" spans="4:13" ht="31.5" x14ac:dyDescent="0.25">
      <c r="G11" s="5" t="s">
        <v>44</v>
      </c>
      <c r="H11" s="6">
        <v>2</v>
      </c>
      <c r="I11" s="7">
        <f t="shared" ref="I11:I14" si="0">(($I$8/100)+1)^(H11/252)</f>
        <v>1.0004917192792309</v>
      </c>
      <c r="K11" s="7" t="s">
        <v>44</v>
      </c>
      <c r="L11" s="8">
        <f>H11</f>
        <v>2</v>
      </c>
      <c r="M11" s="9">
        <f>$M$8/I11</f>
        <v>3.3446553684729388</v>
      </c>
    </row>
    <row r="12" spans="4:13" ht="31.5" x14ac:dyDescent="0.25">
      <c r="G12" s="14" t="s">
        <v>44</v>
      </c>
      <c r="H12" s="15">
        <v>3</v>
      </c>
      <c r="I12" s="16">
        <f t="shared" si="0"/>
        <v>1.0007376695818606</v>
      </c>
      <c r="K12" s="16" t="s">
        <v>44</v>
      </c>
      <c r="L12" s="17">
        <f>H12</f>
        <v>3</v>
      </c>
      <c r="M12" s="18">
        <f>$M$8/I12</f>
        <v>3.3438333558465807</v>
      </c>
    </row>
    <row r="14" spans="4:13" ht="31.5" x14ac:dyDescent="0.25">
      <c r="D14" s="233" t="s">
        <v>341</v>
      </c>
      <c r="E14" s="234"/>
      <c r="G14" s="14" t="s">
        <v>44</v>
      </c>
      <c r="H14" s="15">
        <v>10</v>
      </c>
      <c r="I14" s="16">
        <f t="shared" si="0"/>
        <v>1.00246101546386</v>
      </c>
      <c r="K14" s="16" t="s">
        <v>44</v>
      </c>
      <c r="L14" s="17">
        <f>H14</f>
        <v>10</v>
      </c>
      <c r="M14" s="18">
        <f>$M$8/I14</f>
        <v>3.3380849213887842</v>
      </c>
    </row>
  </sheetData>
  <mergeCells count="6">
    <mergeCell ref="D14:E14"/>
    <mergeCell ref="G2:M2"/>
    <mergeCell ref="G6:I6"/>
    <mergeCell ref="K6:M6"/>
    <mergeCell ref="G8:H8"/>
    <mergeCell ref="K8:L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ilha24">
    <tabColor theme="3" tint="0.39997558519241921"/>
  </sheetPr>
  <dimension ref="F2:L10"/>
  <sheetViews>
    <sheetView workbookViewId="0"/>
  </sheetViews>
  <sheetFormatPr defaultRowHeight="15" x14ac:dyDescent="0.25"/>
  <cols>
    <col min="1" max="6" width="10.7109375" style="1" customWidth="1"/>
    <col min="7" max="7" width="21.42578125" style="1" customWidth="1"/>
    <col min="8" max="8" width="10.7109375" style="1" customWidth="1"/>
    <col min="9" max="9" width="21.42578125" style="1" customWidth="1"/>
    <col min="10" max="21" width="10.7109375" style="1" customWidth="1"/>
    <col min="22" max="16384" width="9.140625" style="1"/>
  </cols>
  <sheetData>
    <row r="2" spans="6:12" ht="32.25" x14ac:dyDescent="0.25">
      <c r="F2" s="145" t="s">
        <v>217</v>
      </c>
      <c r="G2" s="145"/>
      <c r="H2" s="145"/>
      <c r="I2" s="145"/>
      <c r="J2" s="145"/>
      <c r="K2" s="13"/>
      <c r="L2" s="13"/>
    </row>
    <row r="6" spans="6:12" ht="32.25" x14ac:dyDescent="0.5">
      <c r="G6" s="111" t="s">
        <v>4</v>
      </c>
      <c r="H6" s="100"/>
      <c r="I6" s="115">
        <v>3.1164999999999998</v>
      </c>
    </row>
    <row r="7" spans="6:12" ht="32.25" x14ac:dyDescent="0.5">
      <c r="G7" s="13" t="s">
        <v>220</v>
      </c>
      <c r="H7" s="100"/>
      <c r="I7" s="117">
        <v>5.1999999999999998E-2</v>
      </c>
    </row>
    <row r="8" spans="6:12" ht="32.25" x14ac:dyDescent="0.25">
      <c r="G8" s="13"/>
      <c r="H8" s="13"/>
      <c r="I8" s="13"/>
    </row>
    <row r="9" spans="6:12" ht="32.25" x14ac:dyDescent="0.25">
      <c r="G9" s="113" t="s">
        <v>218</v>
      </c>
      <c r="H9" s="13"/>
      <c r="I9" s="114" t="s">
        <v>219</v>
      </c>
    </row>
    <row r="10" spans="6:12" ht="32.25" x14ac:dyDescent="0.25">
      <c r="G10" s="116">
        <f>I6-I7*I6</f>
        <v>2.9544419999999998</v>
      </c>
      <c r="H10" s="112"/>
      <c r="I10" s="116">
        <f>I6+I6*I7</f>
        <v>3.2785579999999999</v>
      </c>
    </row>
  </sheetData>
  <mergeCells count="1">
    <mergeCell ref="F2:J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ilha25">
    <tabColor theme="3" tint="-0.249977111117893"/>
  </sheetPr>
  <dimension ref="H2:M18"/>
  <sheetViews>
    <sheetView workbookViewId="0"/>
  </sheetViews>
  <sheetFormatPr defaultRowHeight="15" x14ac:dyDescent="0.25"/>
  <cols>
    <col min="1" max="7" width="9.28515625" style="1" customWidth="1"/>
    <col min="8" max="8" width="9.140625" style="1"/>
    <col min="9" max="9" width="20.7109375" style="1" customWidth="1"/>
    <col min="10" max="10" width="10.85546875" style="1" bestFit="1" customWidth="1"/>
    <col min="11" max="11" width="17.5703125" style="1" bestFit="1" customWidth="1"/>
    <col min="12" max="16384" width="9.140625" style="1"/>
  </cols>
  <sheetData>
    <row r="2" spans="8:13" ht="32.25" x14ac:dyDescent="0.25">
      <c r="I2" s="145" t="s">
        <v>279</v>
      </c>
      <c r="J2" s="145"/>
      <c r="K2" s="13"/>
      <c r="L2" s="13"/>
      <c r="M2" s="13"/>
    </row>
    <row r="3" spans="8:13" ht="15" customHeight="1" x14ac:dyDescent="0.25"/>
    <row r="4" spans="8:13" ht="15" customHeight="1" thickBot="1" x14ac:dyDescent="0.3"/>
    <row r="5" spans="8:13" ht="20.25" thickBot="1" x14ac:dyDescent="0.35">
      <c r="H5" s="21"/>
      <c r="I5" s="244" t="s">
        <v>279</v>
      </c>
      <c r="J5" s="245"/>
      <c r="K5" s="21"/>
    </row>
    <row r="6" spans="8:13" ht="19.5" x14ac:dyDescent="0.3">
      <c r="H6" s="21"/>
      <c r="I6" s="118">
        <v>36500</v>
      </c>
      <c r="J6" s="119">
        <v>3.14</v>
      </c>
      <c r="K6" s="21"/>
    </row>
    <row r="7" spans="8:13" ht="19.5" x14ac:dyDescent="0.3">
      <c r="H7" s="21"/>
      <c r="I7" s="120">
        <v>37000</v>
      </c>
      <c r="J7" s="121">
        <v>3.113</v>
      </c>
      <c r="K7" s="21"/>
    </row>
    <row r="8" spans="8:13" ht="19.5" x14ac:dyDescent="0.3">
      <c r="H8" s="21"/>
      <c r="I8" s="120"/>
      <c r="J8" s="121"/>
      <c r="K8" s="21"/>
    </row>
    <row r="9" spans="8:13" ht="19.5" x14ac:dyDescent="0.3">
      <c r="H9" s="21"/>
      <c r="I9" s="120"/>
      <c r="J9" s="121"/>
      <c r="K9" s="21"/>
    </row>
    <row r="10" spans="8:13" ht="19.5" x14ac:dyDescent="0.3">
      <c r="H10" s="21"/>
      <c r="I10" s="120"/>
      <c r="J10" s="121"/>
      <c r="K10" s="21"/>
    </row>
    <row r="11" spans="8:13" ht="19.5" x14ac:dyDescent="0.3">
      <c r="H11" s="21"/>
      <c r="I11" s="120"/>
      <c r="J11" s="121"/>
      <c r="K11" s="21"/>
    </row>
    <row r="12" spans="8:13" ht="19.5" x14ac:dyDescent="0.3">
      <c r="H12" s="21"/>
      <c r="I12" s="120"/>
      <c r="J12" s="121"/>
      <c r="K12" s="21"/>
    </row>
    <row r="13" spans="8:13" ht="19.5" x14ac:dyDescent="0.3">
      <c r="H13" s="21"/>
      <c r="I13" s="120"/>
      <c r="J13" s="121"/>
      <c r="K13" s="21"/>
    </row>
    <row r="14" spans="8:13" ht="19.5" x14ac:dyDescent="0.3">
      <c r="H14" s="21"/>
      <c r="I14" s="120"/>
      <c r="J14" s="121"/>
      <c r="K14" s="21"/>
    </row>
    <row r="15" spans="8:13" ht="20.25" thickBot="1" x14ac:dyDescent="0.35">
      <c r="H15" s="21"/>
      <c r="I15" s="120"/>
      <c r="J15" s="121"/>
      <c r="K15" s="21"/>
    </row>
    <row r="16" spans="8:13" ht="20.25" thickBot="1" x14ac:dyDescent="0.35">
      <c r="H16" s="21"/>
      <c r="I16" s="122" t="s">
        <v>279</v>
      </c>
      <c r="J16" s="123">
        <f>SUMPRODUCT(I6:I15,J6:J15)/SUM(I6:I15)</f>
        <v>3.1264081632653062</v>
      </c>
      <c r="K16" s="21"/>
    </row>
    <row r="17" spans="8:11" ht="15" customHeight="1" thickBot="1" x14ac:dyDescent="0.35">
      <c r="H17" s="21"/>
      <c r="I17" s="21"/>
      <c r="J17" s="21"/>
      <c r="K17" s="21"/>
    </row>
    <row r="18" spans="8:11" ht="20.25" thickBot="1" x14ac:dyDescent="0.3">
      <c r="H18" s="248" t="s">
        <v>281</v>
      </c>
      <c r="I18" s="249"/>
      <c r="J18" s="246">
        <f>SUM(I6:I15)</f>
        <v>73500</v>
      </c>
      <c r="K18" s="247"/>
    </row>
  </sheetData>
  <mergeCells count="4">
    <mergeCell ref="I5:J5"/>
    <mergeCell ref="I2:J2"/>
    <mergeCell ref="J18:K18"/>
    <mergeCell ref="H18:I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ilha26">
    <tabColor theme="3" tint="0.39997558519241921"/>
  </sheetPr>
  <dimension ref="G2:Q15"/>
  <sheetViews>
    <sheetView workbookViewId="0">
      <selection activeCell="H2" sqref="H2:M2"/>
    </sheetView>
  </sheetViews>
  <sheetFormatPr defaultRowHeight="15" x14ac:dyDescent="0.25"/>
  <cols>
    <col min="1" max="24" width="10" style="1" customWidth="1"/>
    <col min="25" max="26" width="9.28515625" style="1" customWidth="1"/>
    <col min="27" max="16384" width="9.140625" style="1"/>
  </cols>
  <sheetData>
    <row r="2" spans="7:17" ht="32.25" x14ac:dyDescent="0.25">
      <c r="G2" s="13"/>
      <c r="H2" s="145" t="s">
        <v>283</v>
      </c>
      <c r="I2" s="145"/>
      <c r="J2" s="145"/>
      <c r="K2" s="145"/>
      <c r="L2" s="145"/>
      <c r="M2" s="145"/>
      <c r="N2" s="13"/>
      <c r="O2" s="13"/>
      <c r="P2" s="13"/>
      <c r="Q2" s="13"/>
    </row>
    <row r="4" spans="7:17" ht="19.5" x14ac:dyDescent="0.3">
      <c r="K4" s="21"/>
    </row>
    <row r="5" spans="7:17" s="21" customFormat="1" ht="19.5" x14ac:dyDescent="0.3">
      <c r="H5" s="253" t="s">
        <v>285</v>
      </c>
      <c r="I5" s="254"/>
      <c r="J5" s="254"/>
      <c r="K5" s="254"/>
      <c r="L5" s="254"/>
      <c r="M5" s="255"/>
    </row>
    <row r="6" spans="7:17" ht="19.5" x14ac:dyDescent="0.3">
      <c r="H6" s="21"/>
      <c r="I6" s="21"/>
      <c r="J6" s="21"/>
      <c r="K6" s="21"/>
      <c r="L6" s="21"/>
      <c r="M6" s="21"/>
    </row>
    <row r="7" spans="7:17" ht="19.5" x14ac:dyDescent="0.25">
      <c r="H7" s="250" t="s">
        <v>284</v>
      </c>
      <c r="I7" s="251"/>
      <c r="J7" s="83" t="s">
        <v>229</v>
      </c>
      <c r="K7" s="250" t="s">
        <v>234</v>
      </c>
      <c r="L7" s="252"/>
      <c r="M7" s="251"/>
    </row>
    <row r="8" spans="7:17" ht="19.5" x14ac:dyDescent="0.25">
      <c r="H8" s="259">
        <v>99345</v>
      </c>
      <c r="I8" s="259"/>
      <c r="J8" s="84">
        <v>3.3719999999999999</v>
      </c>
      <c r="K8" s="260">
        <f>H8/J8</f>
        <v>29461.743772241993</v>
      </c>
      <c r="L8" s="261"/>
      <c r="M8" s="261"/>
    </row>
    <row r="12" spans="7:17" ht="19.5" x14ac:dyDescent="0.25">
      <c r="H12" s="256" t="s">
        <v>286</v>
      </c>
      <c r="I12" s="257"/>
      <c r="J12" s="257"/>
      <c r="K12" s="257"/>
      <c r="L12" s="257"/>
      <c r="M12" s="258"/>
    </row>
    <row r="13" spans="7:17" ht="19.5" x14ac:dyDescent="0.3">
      <c r="H13" s="21"/>
      <c r="I13" s="21"/>
      <c r="J13" s="21"/>
      <c r="K13" s="21"/>
      <c r="L13" s="21"/>
      <c r="M13" s="21"/>
    </row>
    <row r="14" spans="7:17" ht="19.5" x14ac:dyDescent="0.25">
      <c r="H14" s="126" t="s">
        <v>234</v>
      </c>
      <c r="I14" s="126"/>
      <c r="J14" s="83" t="s">
        <v>229</v>
      </c>
      <c r="K14" s="126" t="s">
        <v>284</v>
      </c>
      <c r="L14" s="126"/>
      <c r="M14" s="126"/>
    </row>
    <row r="15" spans="7:17" ht="19.5" x14ac:dyDescent="0.25">
      <c r="H15" s="263">
        <v>10000</v>
      </c>
      <c r="I15" s="263"/>
      <c r="J15" s="88">
        <v>3.1364999999999998</v>
      </c>
      <c r="K15" s="262">
        <f>H15*J15</f>
        <v>31365</v>
      </c>
      <c r="L15" s="262"/>
      <c r="M15" s="262"/>
    </row>
  </sheetData>
  <mergeCells count="11">
    <mergeCell ref="H14:I14"/>
    <mergeCell ref="K14:M14"/>
    <mergeCell ref="K15:M15"/>
    <mergeCell ref="H15:I15"/>
    <mergeCell ref="H7:I7"/>
    <mergeCell ref="K7:M7"/>
    <mergeCell ref="H5:M5"/>
    <mergeCell ref="H12:M12"/>
    <mergeCell ref="H2:M2"/>
    <mergeCell ref="H8:I8"/>
    <mergeCell ref="K8:M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Planilha29">
    <tabColor theme="3" tint="-0.249977111117893"/>
  </sheetPr>
  <dimension ref="A1:O37"/>
  <sheetViews>
    <sheetView workbookViewId="0"/>
  </sheetViews>
  <sheetFormatPr defaultRowHeight="15" x14ac:dyDescent="0.25"/>
  <cols>
    <col min="1" max="1" width="38.28515625" style="1" customWidth="1"/>
    <col min="2" max="2" width="11.28515625" style="1" bestFit="1" customWidth="1"/>
    <col min="3" max="3" width="10.7109375" style="1" bestFit="1" customWidth="1"/>
    <col min="4" max="4" width="8.28515625" style="1" bestFit="1" customWidth="1"/>
    <col min="5" max="5" width="9.140625" style="1"/>
    <col min="6" max="6" width="10.85546875" style="1" bestFit="1" customWidth="1"/>
    <col min="7" max="7" width="17" style="1" bestFit="1" customWidth="1"/>
    <col min="8" max="8" width="29.5703125" style="1" bestFit="1" customWidth="1"/>
    <col min="9" max="13" width="9.140625" style="1"/>
    <col min="14" max="14" width="15.85546875" style="1" bestFit="1" customWidth="1"/>
    <col min="15" max="15" width="22.28515625" style="1" bestFit="1" customWidth="1"/>
    <col min="16" max="16384" width="9.140625" style="1"/>
  </cols>
  <sheetData>
    <row r="1" spans="1:15" ht="15.75" thickBot="1" x14ac:dyDescent="0.3">
      <c r="A1" s="50" t="s">
        <v>132</v>
      </c>
      <c r="B1" s="51" t="s">
        <v>43</v>
      </c>
      <c r="C1" s="51" t="s">
        <v>245</v>
      </c>
      <c r="D1" s="51" t="s">
        <v>246</v>
      </c>
      <c r="E1" s="265" t="s">
        <v>247</v>
      </c>
      <c r="F1" s="269"/>
      <c r="G1" s="52" t="s">
        <v>248</v>
      </c>
      <c r="H1" s="53"/>
      <c r="I1" s="53"/>
    </row>
    <row r="2" spans="1:15" ht="18.75" thickBot="1" x14ac:dyDescent="0.3">
      <c r="A2" s="54" t="s">
        <v>249</v>
      </c>
      <c r="B2" s="55">
        <v>13</v>
      </c>
      <c r="C2" s="56">
        <v>3</v>
      </c>
      <c r="D2" s="57">
        <f>SUM(B2:C2)</f>
        <v>16</v>
      </c>
      <c r="E2" s="58">
        <v>58</v>
      </c>
      <c r="F2" s="59" t="s">
        <v>250</v>
      </c>
      <c r="G2" s="60">
        <f>SUM(((D2/100)+1)^(1/(252/E2))-1)*100</f>
        <v>3.4750318973604477</v>
      </c>
      <c r="H2" s="61" t="s">
        <v>251</v>
      </c>
      <c r="I2" s="61"/>
    </row>
    <row r="3" spans="1:15" ht="18.75" thickBot="1" x14ac:dyDescent="0.3">
      <c r="A3" s="62" t="s">
        <v>252</v>
      </c>
      <c r="B3" s="63"/>
      <c r="C3" s="63"/>
      <c r="D3" s="56">
        <v>1.03</v>
      </c>
      <c r="E3" s="58">
        <v>89</v>
      </c>
      <c r="F3" s="59" t="s">
        <v>253</v>
      </c>
      <c r="G3" s="64">
        <f>SUM(D3/360)*E3</f>
        <v>0.25463888888888891</v>
      </c>
      <c r="H3" s="61" t="s">
        <v>251</v>
      </c>
      <c r="I3" s="61"/>
    </row>
    <row r="4" spans="1:15" ht="19.5" thickBot="1" x14ac:dyDescent="0.35">
      <c r="A4" s="65" t="s">
        <v>254</v>
      </c>
      <c r="B4" s="66"/>
      <c r="C4" s="66"/>
      <c r="D4" s="67"/>
      <c r="E4" s="67"/>
      <c r="F4" s="67"/>
      <c r="G4" s="68">
        <f>SUM(G2-G3)</f>
        <v>3.2203930084715586</v>
      </c>
      <c r="H4" s="69" t="s">
        <v>255</v>
      </c>
      <c r="I4" s="70"/>
    </row>
    <row r="5" spans="1:15" ht="18.75" thickBot="1" x14ac:dyDescent="0.3">
      <c r="A5" s="71" t="s">
        <v>256</v>
      </c>
      <c r="B5" s="66"/>
      <c r="C5" s="66"/>
      <c r="D5" s="66"/>
      <c r="E5" s="66"/>
      <c r="F5" s="72"/>
      <c r="G5" s="73">
        <f>(G4/100)+1</f>
        <v>1.0322039300847157</v>
      </c>
      <c r="H5" s="61" t="s">
        <v>257</v>
      </c>
      <c r="I5" s="61"/>
    </row>
    <row r="6" spans="1:15" ht="27" thickBot="1" x14ac:dyDescent="0.45">
      <c r="A6" s="74" t="s">
        <v>258</v>
      </c>
      <c r="B6" s="75" t="s">
        <v>259</v>
      </c>
      <c r="C6" s="76">
        <v>3.1549999999999998</v>
      </c>
      <c r="D6" s="270" t="s">
        <v>260</v>
      </c>
      <c r="E6" s="270"/>
      <c r="F6" s="270"/>
      <c r="G6" s="77">
        <f>SUM(C6*G5)</f>
        <v>3.2566033994172776</v>
      </c>
      <c r="H6" s="77">
        <f>C6/G5</f>
        <v>3.0565665446953498</v>
      </c>
      <c r="I6" s="61"/>
    </row>
    <row r="7" spans="1:15" ht="27" thickBot="1" x14ac:dyDescent="0.45">
      <c r="A7" s="78" t="s">
        <v>261</v>
      </c>
      <c r="B7" s="79">
        <v>1.302</v>
      </c>
      <c r="C7" s="76"/>
      <c r="D7" s="271" t="s">
        <v>262</v>
      </c>
      <c r="E7" s="272"/>
      <c r="F7" s="273"/>
      <c r="G7" s="80">
        <f>SUM(G6*C7)</f>
        <v>0</v>
      </c>
      <c r="H7" s="61"/>
      <c r="I7" s="61"/>
    </row>
    <row r="8" spans="1:15" x14ac:dyDescent="0.25">
      <c r="A8" s="61"/>
      <c r="B8" s="61"/>
      <c r="C8" s="61"/>
      <c r="D8" s="61"/>
      <c r="E8" s="61"/>
      <c r="F8" s="61"/>
      <c r="G8" s="61"/>
      <c r="H8" s="61"/>
      <c r="I8" s="61"/>
    </row>
    <row r="9" spans="1:15" ht="15.75" thickBot="1" x14ac:dyDescent="0.3">
      <c r="A9" s="61"/>
      <c r="B9" s="61"/>
      <c r="C9" s="61"/>
      <c r="D9" s="61"/>
      <c r="E9" s="61"/>
      <c r="F9" s="61"/>
      <c r="G9" s="61"/>
      <c r="H9" s="61"/>
      <c r="I9" s="61"/>
    </row>
    <row r="10" spans="1:15" x14ac:dyDescent="0.25">
      <c r="A10" s="61"/>
      <c r="B10" s="61"/>
      <c r="C10" s="61"/>
      <c r="D10" s="61"/>
      <c r="E10" s="61"/>
      <c r="F10" s="61"/>
      <c r="G10" s="61"/>
      <c r="H10" s="61"/>
      <c r="I10" s="61"/>
      <c r="K10" s="50" t="s">
        <v>274</v>
      </c>
      <c r="M10" s="51" t="s">
        <v>43</v>
      </c>
      <c r="N10" s="51" t="s">
        <v>268</v>
      </c>
      <c r="O10" s="51" t="s">
        <v>269</v>
      </c>
    </row>
    <row r="11" spans="1:15" x14ac:dyDescent="0.25">
      <c r="A11" s="61"/>
      <c r="B11" s="61"/>
      <c r="C11" s="61"/>
      <c r="D11" s="61"/>
      <c r="E11" s="61"/>
      <c r="F11" s="61"/>
      <c r="G11" s="61"/>
      <c r="H11" s="61"/>
      <c r="I11" s="61"/>
      <c r="K11" s="1">
        <v>3.1549999999999998</v>
      </c>
      <c r="M11" s="264">
        <v>13</v>
      </c>
      <c r="N11" s="264">
        <v>3</v>
      </c>
      <c r="O11" s="264">
        <f>M11+N11</f>
        <v>16</v>
      </c>
    </row>
    <row r="12" spans="1:15" x14ac:dyDescent="0.25">
      <c r="A12" s="61"/>
      <c r="B12" s="61"/>
      <c r="C12" s="61"/>
      <c r="D12" s="61"/>
      <c r="E12" s="61"/>
      <c r="F12" s="61"/>
      <c r="G12" s="61"/>
      <c r="H12" s="61"/>
      <c r="I12" s="61"/>
      <c r="M12" s="264"/>
      <c r="N12" s="264"/>
      <c r="O12" s="264"/>
    </row>
    <row r="13" spans="1:15" x14ac:dyDescent="0.25">
      <c r="A13" s="61"/>
      <c r="B13" s="61"/>
      <c r="C13" s="61"/>
      <c r="D13" s="61"/>
      <c r="E13" s="61"/>
      <c r="F13" s="61"/>
      <c r="G13" s="61"/>
      <c r="H13" s="61"/>
      <c r="I13" s="61"/>
    </row>
    <row r="14" spans="1:15" ht="15.75" thickBot="1" x14ac:dyDescent="0.3">
      <c r="A14" s="61"/>
      <c r="B14" s="61"/>
      <c r="C14" s="61"/>
      <c r="D14" s="61"/>
      <c r="E14" s="61"/>
      <c r="F14" s="61"/>
      <c r="G14" s="61"/>
      <c r="H14" s="61"/>
      <c r="I14" s="61"/>
    </row>
    <row r="15" spans="1:15" x14ac:dyDescent="0.25">
      <c r="A15" s="61"/>
      <c r="B15" s="61"/>
      <c r="C15" s="61"/>
      <c r="D15" s="61"/>
      <c r="E15" s="61"/>
      <c r="F15" s="61"/>
      <c r="G15" s="61"/>
      <c r="H15" s="61"/>
      <c r="I15" s="61"/>
      <c r="M15" s="265" t="s">
        <v>247</v>
      </c>
      <c r="N15" s="269"/>
      <c r="O15" s="82" t="s">
        <v>271</v>
      </c>
    </row>
    <row r="16" spans="1:15" x14ac:dyDescent="0.25">
      <c r="A16" s="81"/>
      <c r="M16" s="1">
        <v>58</v>
      </c>
      <c r="N16" s="1" t="s">
        <v>270</v>
      </c>
      <c r="O16" s="264">
        <v>1.03</v>
      </c>
    </row>
    <row r="17" spans="1:15" x14ac:dyDescent="0.25">
      <c r="A17" s="81"/>
      <c r="M17" s="1">
        <v>89</v>
      </c>
      <c r="N17" s="1" t="s">
        <v>253</v>
      </c>
      <c r="O17" s="264"/>
    </row>
    <row r="20" spans="1:15" x14ac:dyDescent="0.25">
      <c r="M20" s="267" t="s">
        <v>248</v>
      </c>
      <c r="N20" s="268"/>
      <c r="O20" s="268"/>
    </row>
    <row r="21" spans="1:15" x14ac:dyDescent="0.25">
      <c r="M21" s="264">
        <f>((((O11/100)+1)^(1/252)^M16)-1)*100</f>
        <v>3.4750318973597594</v>
      </c>
      <c r="N21" s="264"/>
      <c r="O21" s="264"/>
    </row>
    <row r="22" spans="1:15" x14ac:dyDescent="0.25">
      <c r="A22" s="1" t="s">
        <v>263</v>
      </c>
      <c r="M22" s="264">
        <f>(O16/360)*M17</f>
        <v>0.25463888888888891</v>
      </c>
      <c r="N22" s="264"/>
      <c r="O22" s="264"/>
    </row>
    <row r="23" spans="1:15" ht="15.75" thickBot="1" x14ac:dyDescent="0.3">
      <c r="A23" s="1" t="s">
        <v>264</v>
      </c>
    </row>
    <row r="24" spans="1:15" x14ac:dyDescent="0.25">
      <c r="A24" s="1" t="s">
        <v>265</v>
      </c>
      <c r="M24" s="265" t="s">
        <v>272</v>
      </c>
      <c r="N24" s="266"/>
      <c r="O24" s="266"/>
    </row>
    <row r="25" spans="1:15" x14ac:dyDescent="0.25">
      <c r="A25" s="1" t="s">
        <v>266</v>
      </c>
      <c r="M25" s="264">
        <f>M21-M22</f>
        <v>3.2203930084708703</v>
      </c>
      <c r="N25" s="264"/>
      <c r="O25" s="264"/>
    </row>
    <row r="26" spans="1:15" ht="15.75" thickBot="1" x14ac:dyDescent="0.3">
      <c r="A26" s="1" t="s">
        <v>267</v>
      </c>
    </row>
    <row r="27" spans="1:15" x14ac:dyDescent="0.25">
      <c r="M27" s="265" t="s">
        <v>273</v>
      </c>
      <c r="N27" s="266"/>
      <c r="O27" s="266"/>
    </row>
    <row r="28" spans="1:15" x14ac:dyDescent="0.25">
      <c r="M28" s="264">
        <f>(M25/100)+1</f>
        <v>1.0322039300847088</v>
      </c>
      <c r="N28" s="264"/>
      <c r="O28" s="264"/>
    </row>
    <row r="29" spans="1:15" ht="15.75" thickBot="1" x14ac:dyDescent="0.3"/>
    <row r="30" spans="1:15" x14ac:dyDescent="0.25">
      <c r="M30" s="265" t="s">
        <v>275</v>
      </c>
      <c r="N30" s="266"/>
      <c r="O30" s="266"/>
    </row>
    <row r="31" spans="1:15" x14ac:dyDescent="0.25">
      <c r="M31" s="264">
        <f>M28*K11</f>
        <v>3.2566033994172559</v>
      </c>
      <c r="N31" s="264"/>
      <c r="O31" s="264"/>
    </row>
    <row r="32" spans="1:15" ht="15.75" thickBot="1" x14ac:dyDescent="0.3"/>
    <row r="33" spans="13:15" x14ac:dyDescent="0.25">
      <c r="M33" s="50" t="s">
        <v>276</v>
      </c>
      <c r="O33" s="50" t="s">
        <v>277</v>
      </c>
    </row>
    <row r="34" spans="13:15" x14ac:dyDescent="0.25">
      <c r="M34" s="1">
        <f>K11/M28</f>
        <v>3.0565665446953703</v>
      </c>
      <c r="O34" s="1">
        <f>C6*C7</f>
        <v>0</v>
      </c>
    </row>
    <row r="35" spans="13:15" ht="15.75" thickBot="1" x14ac:dyDescent="0.3"/>
    <row r="36" spans="13:15" x14ac:dyDescent="0.25">
      <c r="M36" s="265" t="s">
        <v>278</v>
      </c>
      <c r="N36" s="266"/>
      <c r="O36" s="266"/>
    </row>
    <row r="37" spans="13:15" x14ac:dyDescent="0.25">
      <c r="M37" s="264">
        <f>O34*M31</f>
        <v>0</v>
      </c>
      <c r="N37" s="264"/>
      <c r="O37" s="264"/>
    </row>
  </sheetData>
  <mergeCells count="19">
    <mergeCell ref="O11:O12"/>
    <mergeCell ref="E1:F1"/>
    <mergeCell ref="D6:F6"/>
    <mergeCell ref="D7:F7"/>
    <mergeCell ref="M15:N15"/>
    <mergeCell ref="M11:M12"/>
    <mergeCell ref="N11:N12"/>
    <mergeCell ref="O16:O17"/>
    <mergeCell ref="M20:O20"/>
    <mergeCell ref="M21:O21"/>
    <mergeCell ref="M22:O22"/>
    <mergeCell ref="M24:O24"/>
    <mergeCell ref="M37:O37"/>
    <mergeCell ref="M25:O25"/>
    <mergeCell ref="M27:O27"/>
    <mergeCell ref="M28:O28"/>
    <mergeCell ref="M30:O30"/>
    <mergeCell ref="M31:O31"/>
    <mergeCell ref="M36:O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18C39-438B-4E5D-AD52-0EB7A0BC5D52}">
  <sheetPr>
    <tabColor theme="3" tint="0.39997558519241921"/>
  </sheetPr>
  <dimension ref="D2:P19"/>
  <sheetViews>
    <sheetView workbookViewId="0"/>
  </sheetViews>
  <sheetFormatPr defaultRowHeight="15" x14ac:dyDescent="0.25"/>
  <cols>
    <col min="1" max="4" width="10.7109375" style="1" customWidth="1"/>
    <col min="5" max="16384" width="9.140625" style="1"/>
  </cols>
  <sheetData>
    <row r="2" spans="5:15" ht="32.25" x14ac:dyDescent="0.25">
      <c r="E2" s="145" t="s">
        <v>311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5" spans="5:15" ht="15.75" x14ac:dyDescent="0.25">
      <c r="E5" s="142" t="s">
        <v>312</v>
      </c>
      <c r="F5" s="142"/>
      <c r="G5" s="142"/>
      <c r="H5" s="142"/>
      <c r="I5" s="142"/>
      <c r="K5" s="142" t="s">
        <v>313</v>
      </c>
      <c r="L5" s="142"/>
      <c r="M5" s="142"/>
      <c r="N5" s="142"/>
      <c r="O5" s="142"/>
    </row>
    <row r="6" spans="5:15" ht="15.75" x14ac:dyDescent="0.25">
      <c r="E6" s="143" t="s">
        <v>314</v>
      </c>
      <c r="F6" s="143"/>
      <c r="G6" s="143" t="s">
        <v>315</v>
      </c>
      <c r="H6" s="143"/>
      <c r="I6" s="143"/>
      <c r="K6" s="143" t="s">
        <v>315</v>
      </c>
      <c r="L6" s="143"/>
      <c r="M6" s="143" t="s">
        <v>314</v>
      </c>
      <c r="N6" s="143"/>
      <c r="O6" s="143"/>
    </row>
    <row r="7" spans="5:15" s="95" customFormat="1" ht="15.75" x14ac:dyDescent="0.25">
      <c r="E7" s="141">
        <v>5.4999999999999997E-3</v>
      </c>
      <c r="F7" s="141"/>
      <c r="G7" s="140">
        <f>((E7+1)^12)-1</f>
        <v>6.8033559467648441E-2</v>
      </c>
      <c r="H7" s="140"/>
      <c r="I7" s="140"/>
      <c r="K7" s="141">
        <v>7.0000000000000007E-2</v>
      </c>
      <c r="L7" s="141"/>
      <c r="M7" s="140">
        <f>((K7+1)^(1/12))-1</f>
        <v>5.6541453874052738E-3</v>
      </c>
      <c r="N7" s="140"/>
      <c r="O7" s="140"/>
    </row>
    <row r="9" spans="5:15" ht="15.75" x14ac:dyDescent="0.25">
      <c r="E9" s="142" t="s">
        <v>316</v>
      </c>
      <c r="F9" s="142"/>
      <c r="G9" s="142"/>
      <c r="H9" s="142"/>
      <c r="I9" s="142"/>
      <c r="K9" s="142" t="s">
        <v>317</v>
      </c>
      <c r="L9" s="142"/>
      <c r="M9" s="142"/>
      <c r="N9" s="142"/>
      <c r="O9" s="142"/>
    </row>
    <row r="10" spans="5:15" ht="15.75" x14ac:dyDescent="0.25">
      <c r="E10" s="143" t="s">
        <v>314</v>
      </c>
      <c r="F10" s="143"/>
      <c r="G10" s="143" t="s">
        <v>318</v>
      </c>
      <c r="H10" s="143"/>
      <c r="I10" s="143"/>
      <c r="K10" s="143" t="s">
        <v>315</v>
      </c>
      <c r="L10" s="143"/>
      <c r="M10" s="143" t="s">
        <v>318</v>
      </c>
      <c r="N10" s="143"/>
      <c r="O10" s="143"/>
    </row>
    <row r="11" spans="5:15" ht="15.75" x14ac:dyDescent="0.25">
      <c r="E11" s="141">
        <v>5.1000000000000004E-3</v>
      </c>
      <c r="F11" s="141"/>
      <c r="G11" s="144">
        <f>((E11+1)^(1/21))-1</f>
        <v>2.4226929716020251E-4</v>
      </c>
      <c r="H11" s="144"/>
      <c r="I11" s="144"/>
      <c r="K11" s="141">
        <v>6.3899999999999998E-2</v>
      </c>
      <c r="L11" s="141"/>
      <c r="M11" s="144">
        <f>((K11+1)^(1/252))-1</f>
        <v>2.4582942356277115E-4</v>
      </c>
      <c r="N11" s="144"/>
      <c r="O11" s="144"/>
    </row>
    <row r="13" spans="5:15" ht="15.75" x14ac:dyDescent="0.25">
      <c r="E13" s="142" t="s">
        <v>319</v>
      </c>
      <c r="F13" s="142"/>
      <c r="G13" s="142"/>
      <c r="H13" s="142"/>
      <c r="I13" s="142"/>
      <c r="K13" s="142" t="s">
        <v>320</v>
      </c>
      <c r="L13" s="142"/>
      <c r="M13" s="142"/>
      <c r="N13" s="142"/>
      <c r="O13" s="142"/>
    </row>
    <row r="14" spans="5:15" ht="15.75" x14ac:dyDescent="0.25">
      <c r="E14" s="143" t="s">
        <v>318</v>
      </c>
      <c r="F14" s="143"/>
      <c r="G14" s="143" t="s">
        <v>314</v>
      </c>
      <c r="H14" s="143"/>
      <c r="I14" s="143"/>
      <c r="K14" s="143" t="s">
        <v>318</v>
      </c>
      <c r="L14" s="143"/>
      <c r="M14" s="143" t="s">
        <v>315</v>
      </c>
      <c r="N14" s="143"/>
      <c r="O14" s="143"/>
    </row>
    <row r="15" spans="5:15" ht="15.75" x14ac:dyDescent="0.25">
      <c r="E15" s="141">
        <v>2.0000000000000001E-4</v>
      </c>
      <c r="F15" s="141"/>
      <c r="G15" s="140">
        <f>((E15+1)^21)-1</f>
        <v>4.2084106495821061E-3</v>
      </c>
      <c r="H15" s="140"/>
      <c r="I15" s="140"/>
      <c r="K15" s="141">
        <v>1E-3</v>
      </c>
      <c r="L15" s="141"/>
      <c r="M15" s="140">
        <f>((K15+1)^252)-1</f>
        <v>0.28643404437614373</v>
      </c>
      <c r="N15" s="140"/>
      <c r="O15" s="140"/>
    </row>
    <row r="17" spans="4:16" ht="15.75" x14ac:dyDescent="0.25">
      <c r="D17" s="142" t="s">
        <v>321</v>
      </c>
      <c r="E17" s="142"/>
      <c r="F17" s="142"/>
      <c r="G17" s="142"/>
      <c r="H17" s="142"/>
      <c r="I17" s="142"/>
      <c r="K17" s="142" t="s">
        <v>322</v>
      </c>
      <c r="L17" s="142"/>
      <c r="M17" s="142"/>
      <c r="N17" s="142"/>
      <c r="O17" s="142"/>
      <c r="P17" s="142"/>
    </row>
    <row r="18" spans="4:16" s="95" customFormat="1" ht="15.75" x14ac:dyDescent="0.25">
      <c r="D18" s="96" t="s">
        <v>323</v>
      </c>
      <c r="E18" s="96" t="s">
        <v>324</v>
      </c>
      <c r="F18" s="96" t="s">
        <v>325</v>
      </c>
      <c r="G18" s="96" t="s">
        <v>326</v>
      </c>
      <c r="H18" s="139" t="s">
        <v>327</v>
      </c>
      <c r="I18" s="139"/>
      <c r="J18" s="97"/>
      <c r="K18" s="139" t="s">
        <v>323</v>
      </c>
      <c r="L18" s="139"/>
      <c r="M18" s="139" t="s">
        <v>324</v>
      </c>
      <c r="N18" s="139"/>
      <c r="O18" s="139" t="s">
        <v>327</v>
      </c>
      <c r="P18" s="139"/>
    </row>
    <row r="19" spans="4:16" s="95" customFormat="1" ht="15.75" x14ac:dyDescent="0.25">
      <c r="D19" s="98">
        <v>4.4999999999999998E-2</v>
      </c>
      <c r="E19" s="98">
        <v>0.03</v>
      </c>
      <c r="F19" s="98">
        <v>0</v>
      </c>
      <c r="G19" s="98">
        <v>0</v>
      </c>
      <c r="H19" s="140">
        <f>((1+D19)*(1+E19)*(1+F19)*(1+G19))-1</f>
        <v>7.6349999999999918E-2</v>
      </c>
      <c r="I19" s="140"/>
      <c r="K19" s="141">
        <v>8.3199999999999996E-2</v>
      </c>
      <c r="L19" s="141"/>
      <c r="M19" s="141">
        <v>4.9799999999999997E-2</v>
      </c>
      <c r="N19" s="141"/>
      <c r="O19" s="140">
        <f>((1+K19)/(1+M19))-1</f>
        <v>3.1815583920746793E-2</v>
      </c>
      <c r="P19" s="140"/>
    </row>
  </sheetData>
  <mergeCells count="41">
    <mergeCell ref="E2:O2"/>
    <mergeCell ref="E5:I5"/>
    <mergeCell ref="K5:O5"/>
    <mergeCell ref="E6:F6"/>
    <mergeCell ref="G6:I6"/>
    <mergeCell ref="K6:L6"/>
    <mergeCell ref="M6:O6"/>
    <mergeCell ref="E7:F7"/>
    <mergeCell ref="G7:I7"/>
    <mergeCell ref="K7:L7"/>
    <mergeCell ref="M7:O7"/>
    <mergeCell ref="E9:I9"/>
    <mergeCell ref="K9:O9"/>
    <mergeCell ref="E10:F10"/>
    <mergeCell ref="G10:I10"/>
    <mergeCell ref="K10:L10"/>
    <mergeCell ref="M10:O10"/>
    <mergeCell ref="E11:F11"/>
    <mergeCell ref="G11:I11"/>
    <mergeCell ref="K11:L11"/>
    <mergeCell ref="M11:O11"/>
    <mergeCell ref="E13:I13"/>
    <mergeCell ref="K13:O13"/>
    <mergeCell ref="E14:F14"/>
    <mergeCell ref="G14:I14"/>
    <mergeCell ref="K14:L14"/>
    <mergeCell ref="M14:O14"/>
    <mergeCell ref="E15:F15"/>
    <mergeCell ref="G15:I15"/>
    <mergeCell ref="K15:L15"/>
    <mergeCell ref="M15:O15"/>
    <mergeCell ref="D17:I17"/>
    <mergeCell ref="K17:P17"/>
    <mergeCell ref="H18:I18"/>
    <mergeCell ref="K18:L18"/>
    <mergeCell ref="M18:N18"/>
    <mergeCell ref="O18:P18"/>
    <mergeCell ref="H19:I19"/>
    <mergeCell ref="K19:L19"/>
    <mergeCell ref="M19:N19"/>
    <mergeCell ref="O19:P1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3">
    <tabColor theme="3" tint="-0.249977111117893"/>
  </sheetPr>
  <dimension ref="B2:T30"/>
  <sheetViews>
    <sheetView workbookViewId="0">
      <pane ySplit="6" topLeftCell="A7" activePane="bottomLeft" state="frozen"/>
      <selection pane="bottomLeft" activeCell="B2" sqref="B2:T2"/>
    </sheetView>
  </sheetViews>
  <sheetFormatPr defaultRowHeight="15" x14ac:dyDescent="0.25"/>
  <cols>
    <col min="1" max="1" width="9.140625" style="1"/>
    <col min="2" max="3" width="7.85546875" style="1" customWidth="1"/>
    <col min="4" max="16" width="9.28515625" style="1" customWidth="1"/>
    <col min="17" max="16384" width="9.140625" style="1"/>
  </cols>
  <sheetData>
    <row r="2" spans="2:20" s="100" customFormat="1" ht="32.25" x14ac:dyDescent="0.5">
      <c r="B2" s="145" t="s">
        <v>342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6" spans="2:20" ht="19.5" x14ac:dyDescent="0.25">
      <c r="B6" s="126" t="s">
        <v>213</v>
      </c>
      <c r="C6" s="126"/>
      <c r="D6" s="126" t="s">
        <v>82</v>
      </c>
      <c r="E6" s="126"/>
      <c r="F6" s="126"/>
      <c r="G6" s="126"/>
      <c r="H6" s="126"/>
      <c r="I6" s="126"/>
      <c r="J6" s="126"/>
      <c r="K6" s="126"/>
      <c r="L6" s="126" t="s">
        <v>334</v>
      </c>
      <c r="M6" s="126"/>
      <c r="N6" s="126"/>
      <c r="O6" s="126"/>
      <c r="P6" s="126"/>
      <c r="Q6" s="126" t="s">
        <v>83</v>
      </c>
      <c r="R6" s="126"/>
      <c r="S6" s="126"/>
      <c r="T6" s="126"/>
    </row>
    <row r="7" spans="2:20" x14ac:dyDescent="0.2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</row>
    <row r="8" spans="2:20" x14ac:dyDescent="0.2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</row>
    <row r="9" spans="2:20" x14ac:dyDescent="0.25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</row>
    <row r="10" spans="2:20" x14ac:dyDescent="0.2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</row>
    <row r="11" spans="2:20" x14ac:dyDescent="0.25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2:20" x14ac:dyDescent="0.2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2:20" x14ac:dyDescent="0.25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2:20" x14ac:dyDescent="0.25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2:20" x14ac:dyDescent="0.25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2:20" x14ac:dyDescent="0.25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2:20" x14ac:dyDescent="0.25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</row>
    <row r="18" spans="2:20" x14ac:dyDescent="0.25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2:20" x14ac:dyDescent="0.25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</row>
    <row r="20" spans="2:20" x14ac:dyDescent="0.2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2:20" x14ac:dyDescent="0.25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</row>
    <row r="22" spans="2:20" x14ac:dyDescent="0.2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</row>
    <row r="23" spans="2:20" x14ac:dyDescent="0.2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</row>
    <row r="24" spans="2:20" x14ac:dyDescent="0.2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</row>
    <row r="25" spans="2:20" x14ac:dyDescent="0.25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2:20" x14ac:dyDescent="0.25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2:20" x14ac:dyDescent="0.2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28" spans="2:20" x14ac:dyDescent="0.2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2:20" x14ac:dyDescent="0.25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</row>
    <row r="30" spans="2:20" x14ac:dyDescent="0.25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</sheetData>
  <autoFilter ref="B6:T6" xr:uid="{00000000-0009-0000-0000-000006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</autoFilter>
  <mergeCells count="101"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D30:K30"/>
    <mergeCell ref="L30:P30"/>
    <mergeCell ref="Q30:T30"/>
    <mergeCell ref="D28:K28"/>
    <mergeCell ref="L28:P28"/>
    <mergeCell ref="Q28:T28"/>
    <mergeCell ref="D29:K29"/>
    <mergeCell ref="L29:P29"/>
    <mergeCell ref="Q29:T29"/>
    <mergeCell ref="D26:K26"/>
    <mergeCell ref="L26:P26"/>
    <mergeCell ref="Q26:T26"/>
    <mergeCell ref="D27:K27"/>
    <mergeCell ref="L27:P27"/>
    <mergeCell ref="Q27:T27"/>
    <mergeCell ref="D24:K24"/>
    <mergeCell ref="L24:P24"/>
    <mergeCell ref="Q24:T24"/>
    <mergeCell ref="D25:K25"/>
    <mergeCell ref="L25:P25"/>
    <mergeCell ref="Q25:T25"/>
    <mergeCell ref="D22:K22"/>
    <mergeCell ref="L22:P22"/>
    <mergeCell ref="Q22:T22"/>
    <mergeCell ref="D23:K23"/>
    <mergeCell ref="L23:P23"/>
    <mergeCell ref="Q23:T23"/>
    <mergeCell ref="D20:K20"/>
    <mergeCell ref="L20:P20"/>
    <mergeCell ref="Q20:T20"/>
    <mergeCell ref="D21:K21"/>
    <mergeCell ref="L21:P21"/>
    <mergeCell ref="Q21:T21"/>
    <mergeCell ref="D18:K18"/>
    <mergeCell ref="L18:P18"/>
    <mergeCell ref="Q18:T18"/>
    <mergeCell ref="D19:K19"/>
    <mergeCell ref="L19:P19"/>
    <mergeCell ref="Q19:T19"/>
    <mergeCell ref="D16:K16"/>
    <mergeCell ref="L16:P16"/>
    <mergeCell ref="Q16:T16"/>
    <mergeCell ref="D17:K17"/>
    <mergeCell ref="L17:P17"/>
    <mergeCell ref="Q17:T17"/>
    <mergeCell ref="D14:K14"/>
    <mergeCell ref="L14:P14"/>
    <mergeCell ref="Q14:T14"/>
    <mergeCell ref="D15:K15"/>
    <mergeCell ref="L15:P15"/>
    <mergeCell ref="Q15:T15"/>
    <mergeCell ref="D12:K12"/>
    <mergeCell ref="L12:P12"/>
    <mergeCell ref="Q12:T12"/>
    <mergeCell ref="D13:K13"/>
    <mergeCell ref="L13:P13"/>
    <mergeCell ref="Q13:T13"/>
    <mergeCell ref="D11:K11"/>
    <mergeCell ref="L11:P11"/>
    <mergeCell ref="Q11:T11"/>
    <mergeCell ref="D8:K8"/>
    <mergeCell ref="L8:P8"/>
    <mergeCell ref="Q8:T8"/>
    <mergeCell ref="D9:K9"/>
    <mergeCell ref="L9:P9"/>
    <mergeCell ref="Q9:T9"/>
    <mergeCell ref="D6:K6"/>
    <mergeCell ref="L6:P6"/>
    <mergeCell ref="Q6:T6"/>
    <mergeCell ref="D7:K7"/>
    <mergeCell ref="L7:P7"/>
    <mergeCell ref="Q7:T7"/>
    <mergeCell ref="B2:T2"/>
    <mergeCell ref="D10:K10"/>
    <mergeCell ref="L10:P10"/>
    <mergeCell ref="Q10:T10"/>
    <mergeCell ref="B6:C6"/>
    <mergeCell ref="B7:C7"/>
    <mergeCell ref="B8:C8"/>
    <mergeCell ref="B9:C9"/>
    <mergeCell ref="B10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4">
    <tabColor theme="3" tint="0.39997558519241921"/>
  </sheetPr>
  <dimension ref="D1:O21"/>
  <sheetViews>
    <sheetView workbookViewId="0"/>
  </sheetViews>
  <sheetFormatPr defaultRowHeight="26.25" x14ac:dyDescent="0.4"/>
  <cols>
    <col min="1" max="2" width="10" style="19" customWidth="1"/>
    <col min="3" max="3" width="9.140625" style="19"/>
    <col min="4" max="6" width="9.28515625" style="19" customWidth="1"/>
    <col min="7" max="8" width="14.28515625" style="19" customWidth="1"/>
    <col min="9" max="9" width="7.85546875" style="19" customWidth="1"/>
    <col min="10" max="12" width="9.28515625" style="19" customWidth="1"/>
    <col min="13" max="14" width="14.28515625" style="19" customWidth="1"/>
    <col min="15" max="16384" width="9.140625" style="19"/>
  </cols>
  <sheetData>
    <row r="1" spans="4:15" s="1" customFormat="1" ht="15" x14ac:dyDescent="0.25"/>
    <row r="2" spans="4:15" s="1" customFormat="1" ht="32.25" x14ac:dyDescent="0.25">
      <c r="D2" s="145" t="s">
        <v>343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4:15" s="1" customFormat="1" ht="19.5" x14ac:dyDescent="0.3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4:15" x14ac:dyDescent="0.4">
      <c r="D4" s="152" t="s">
        <v>5</v>
      </c>
      <c r="E4" s="152"/>
      <c r="F4" s="152"/>
      <c r="G4" s="152"/>
      <c r="H4" s="152"/>
      <c r="I4" s="21"/>
      <c r="J4" s="153" t="s">
        <v>6</v>
      </c>
      <c r="K4" s="153"/>
      <c r="L4" s="153"/>
      <c r="M4" s="153"/>
      <c r="N4" s="153"/>
      <c r="O4" s="21"/>
    </row>
    <row r="5" spans="4:15" ht="27" thickBot="1" x14ac:dyDescent="0.4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4:15" ht="27" thickBot="1" x14ac:dyDescent="0.45">
      <c r="D6" s="154" t="s">
        <v>335</v>
      </c>
      <c r="E6" s="155"/>
      <c r="F6" s="155"/>
      <c r="G6" s="156">
        <v>3.0752999999999999</v>
      </c>
      <c r="H6" s="157"/>
      <c r="I6" s="21"/>
      <c r="J6" s="154" t="s">
        <v>336</v>
      </c>
      <c r="K6" s="155"/>
      <c r="L6" s="155"/>
      <c r="M6" s="156">
        <v>3.14</v>
      </c>
      <c r="N6" s="157"/>
      <c r="O6" s="21"/>
    </row>
    <row r="7" spans="4:15" x14ac:dyDescent="0.4"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4:15" x14ac:dyDescent="0.4">
      <c r="D8" s="102" t="s">
        <v>7</v>
      </c>
      <c r="E8" s="102" t="s">
        <v>3</v>
      </c>
      <c r="F8" s="102" t="s">
        <v>8</v>
      </c>
      <c r="G8" s="103" t="s">
        <v>1</v>
      </c>
      <c r="H8" s="104" t="s">
        <v>9</v>
      </c>
      <c r="I8" s="21"/>
      <c r="J8" s="102" t="s">
        <v>7</v>
      </c>
      <c r="K8" s="102" t="s">
        <v>3</v>
      </c>
      <c r="L8" s="102" t="s">
        <v>8</v>
      </c>
      <c r="M8" s="103" t="s">
        <v>1</v>
      </c>
      <c r="N8" s="104" t="s">
        <v>9</v>
      </c>
      <c r="O8" s="21"/>
    </row>
    <row r="9" spans="4:15" x14ac:dyDescent="0.4">
      <c r="D9" s="146" t="s">
        <v>10</v>
      </c>
      <c r="E9" s="149">
        <f t="shared" ref="E9" si="0">$G$6</f>
        <v>3.0752999999999999</v>
      </c>
      <c r="F9" s="85" t="s">
        <v>33</v>
      </c>
      <c r="G9" s="105">
        <v>0.70960000000000001</v>
      </c>
      <c r="H9" s="106">
        <f>$E$9*G9</f>
        <v>2.1822328799999999</v>
      </c>
      <c r="I9" s="21"/>
      <c r="J9" s="146" t="s">
        <v>10</v>
      </c>
      <c r="K9" s="149">
        <f>$M$6</f>
        <v>3.14</v>
      </c>
      <c r="L9" s="85" t="s">
        <v>33</v>
      </c>
      <c r="M9" s="105">
        <v>0.71040000000000003</v>
      </c>
      <c r="N9" s="106">
        <f>$K$9*M9</f>
        <v>2.2306560000000002</v>
      </c>
      <c r="O9" s="21"/>
    </row>
    <row r="10" spans="4:15" x14ac:dyDescent="0.4">
      <c r="D10" s="147"/>
      <c r="E10" s="150"/>
      <c r="F10" s="85" t="s">
        <v>34</v>
      </c>
      <c r="G10" s="105">
        <v>0.74219999999999997</v>
      </c>
      <c r="H10" s="106">
        <f>$E$9*G10</f>
        <v>2.2824876599999997</v>
      </c>
      <c r="I10" s="21"/>
      <c r="J10" s="147"/>
      <c r="K10" s="150"/>
      <c r="L10" s="85" t="s">
        <v>34</v>
      </c>
      <c r="M10" s="105">
        <v>0.75260000000000005</v>
      </c>
      <c r="N10" s="106">
        <f t="shared" ref="N10:N11" si="1">$K$9*M10</f>
        <v>2.3631640000000003</v>
      </c>
      <c r="O10" s="21"/>
    </row>
    <row r="11" spans="4:15" x14ac:dyDescent="0.4">
      <c r="D11" s="147"/>
      <c r="E11" s="150"/>
      <c r="F11" s="85" t="s">
        <v>35</v>
      </c>
      <c r="G11" s="105">
        <v>1.21</v>
      </c>
      <c r="H11" s="106">
        <f t="shared" ref="H11:H12" si="2">$E$9*G11</f>
        <v>3.7211129999999999</v>
      </c>
      <c r="I11" s="21"/>
      <c r="J11" s="147"/>
      <c r="K11" s="150"/>
      <c r="L11" s="85" t="s">
        <v>35</v>
      </c>
      <c r="M11" s="105">
        <v>1.2450000000000001</v>
      </c>
      <c r="N11" s="106">
        <f t="shared" si="1"/>
        <v>3.9093000000000004</v>
      </c>
      <c r="O11" s="21"/>
    </row>
    <row r="12" spans="4:15" x14ac:dyDescent="0.4">
      <c r="D12" s="148"/>
      <c r="E12" s="151"/>
      <c r="F12" s="85" t="s">
        <v>36</v>
      </c>
      <c r="G12" s="105">
        <v>1.0563</v>
      </c>
      <c r="H12" s="106">
        <f t="shared" si="2"/>
        <v>3.2484393900000001</v>
      </c>
      <c r="I12" s="21"/>
      <c r="J12" s="148"/>
      <c r="K12" s="151"/>
      <c r="L12" s="85" t="s">
        <v>36</v>
      </c>
      <c r="M12" s="105">
        <v>1.0580000000000001</v>
      </c>
      <c r="N12" s="106">
        <f>$K$9*M12</f>
        <v>3.3221200000000004</v>
      </c>
      <c r="O12" s="21"/>
    </row>
    <row r="13" spans="4:15" x14ac:dyDescent="0.4"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4:15" x14ac:dyDescent="0.4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4:15" x14ac:dyDescent="0.4">
      <c r="D15" s="21"/>
      <c r="E15" s="21"/>
      <c r="F15" s="21"/>
      <c r="G15" s="158" t="s">
        <v>21</v>
      </c>
      <c r="H15" s="158"/>
      <c r="I15" s="158"/>
      <c r="J15" s="158"/>
      <c r="K15" s="158"/>
      <c r="L15" s="21"/>
      <c r="M15" s="21"/>
      <c r="N15" s="21"/>
      <c r="O15" s="21"/>
    </row>
    <row r="16" spans="4:15" x14ac:dyDescent="0.4">
      <c r="D16" s="21"/>
      <c r="E16" s="21"/>
      <c r="F16" s="21"/>
      <c r="G16" s="159" t="s">
        <v>22</v>
      </c>
      <c r="H16" s="160"/>
      <c r="I16" s="161" t="s">
        <v>0</v>
      </c>
      <c r="J16" s="161"/>
      <c r="K16" s="161"/>
      <c r="L16" s="21"/>
      <c r="M16" s="21"/>
      <c r="N16" s="21"/>
      <c r="O16" s="21"/>
    </row>
    <row r="17" spans="4:15" x14ac:dyDescent="0.4">
      <c r="D17" s="21"/>
      <c r="E17" s="21"/>
      <c r="F17" s="21"/>
      <c r="G17" s="162" t="s">
        <v>33</v>
      </c>
      <c r="H17" s="162"/>
      <c r="I17" s="163" t="s">
        <v>37</v>
      </c>
      <c r="J17" s="163"/>
      <c r="K17" s="163"/>
      <c r="L17" s="21"/>
      <c r="M17" s="21"/>
      <c r="N17" s="21"/>
      <c r="O17" s="21"/>
    </row>
    <row r="18" spans="4:15" x14ac:dyDescent="0.4">
      <c r="D18" s="21"/>
      <c r="E18" s="21"/>
      <c r="F18" s="21"/>
      <c r="G18" s="162" t="s">
        <v>34</v>
      </c>
      <c r="H18" s="162"/>
      <c r="I18" s="163" t="s">
        <v>38</v>
      </c>
      <c r="J18" s="163"/>
      <c r="K18" s="163"/>
      <c r="L18" s="21"/>
      <c r="M18" s="21"/>
      <c r="N18" s="21"/>
      <c r="O18" s="21"/>
    </row>
    <row r="19" spans="4:15" x14ac:dyDescent="0.4">
      <c r="D19" s="21"/>
      <c r="E19" s="21"/>
      <c r="F19" s="21"/>
      <c r="G19" s="162" t="s">
        <v>35</v>
      </c>
      <c r="H19" s="162"/>
      <c r="I19" s="163" t="s">
        <v>39</v>
      </c>
      <c r="J19" s="163"/>
      <c r="K19" s="163"/>
      <c r="L19" s="21"/>
      <c r="M19" s="21"/>
      <c r="N19" s="21"/>
      <c r="O19" s="21"/>
    </row>
    <row r="20" spans="4:15" x14ac:dyDescent="0.4">
      <c r="D20" s="21"/>
      <c r="E20" s="21"/>
      <c r="F20" s="21"/>
      <c r="G20" s="162" t="s">
        <v>36</v>
      </c>
      <c r="H20" s="162"/>
      <c r="I20" s="163" t="s">
        <v>40</v>
      </c>
      <c r="J20" s="163"/>
      <c r="K20" s="163"/>
      <c r="L20" s="21"/>
      <c r="M20" s="21"/>
      <c r="N20" s="21"/>
      <c r="O20" s="21"/>
    </row>
    <row r="21" spans="4:15" x14ac:dyDescent="0.4">
      <c r="D21" s="21"/>
      <c r="E21" s="21"/>
      <c r="F21" s="21"/>
      <c r="G21" s="162" t="s">
        <v>10</v>
      </c>
      <c r="H21" s="162"/>
      <c r="I21" s="163" t="s">
        <v>7</v>
      </c>
      <c r="J21" s="163"/>
      <c r="K21" s="163"/>
      <c r="L21" s="21"/>
      <c r="M21" s="21"/>
      <c r="N21" s="21"/>
      <c r="O21" s="21"/>
    </row>
  </sheetData>
  <mergeCells count="24">
    <mergeCell ref="G21:H21"/>
    <mergeCell ref="I21:K21"/>
    <mergeCell ref="G18:H18"/>
    <mergeCell ref="I18:K18"/>
    <mergeCell ref="G19:H19"/>
    <mergeCell ref="I19:K19"/>
    <mergeCell ref="G20:H20"/>
    <mergeCell ref="I20:K20"/>
    <mergeCell ref="G15:K15"/>
    <mergeCell ref="G16:H16"/>
    <mergeCell ref="I16:K16"/>
    <mergeCell ref="G17:H17"/>
    <mergeCell ref="I17:K17"/>
    <mergeCell ref="D9:D12"/>
    <mergeCell ref="J9:J12"/>
    <mergeCell ref="E9:E12"/>
    <mergeCell ref="K9:K12"/>
    <mergeCell ref="D2:O2"/>
    <mergeCell ref="D4:H4"/>
    <mergeCell ref="J4:N4"/>
    <mergeCell ref="D6:F6"/>
    <mergeCell ref="G6:H6"/>
    <mergeCell ref="J6:L6"/>
    <mergeCell ref="M6:N6"/>
  </mergeCells>
  <hyperlinks>
    <hyperlink ref="F8" location="Moedas!A1" display="M.E." xr:uid="{00000000-0004-0000-0700-000000000000}"/>
    <hyperlink ref="L8" location="Moedas!A1" display="M.E." xr:uid="{00000000-0004-0000-0700-000001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5">
    <tabColor theme="3" tint="-0.249977111117893"/>
  </sheetPr>
  <dimension ref="C1:N32"/>
  <sheetViews>
    <sheetView workbookViewId="0"/>
  </sheetViews>
  <sheetFormatPr defaultRowHeight="26.25" x14ac:dyDescent="0.4"/>
  <cols>
    <col min="1" max="1" width="7.85546875" style="19" customWidth="1"/>
    <col min="2" max="2" width="9.140625" style="19"/>
    <col min="3" max="5" width="9.28515625" style="19" customWidth="1"/>
    <col min="6" max="6" width="23.5703125" style="19" customWidth="1"/>
    <col min="7" max="7" width="13.5703125" style="19" customWidth="1"/>
    <col min="8" max="8" width="7.85546875" style="19" customWidth="1"/>
    <col min="9" max="11" width="9.28515625" style="19" customWidth="1"/>
    <col min="12" max="12" width="27.85546875" style="19" customWidth="1"/>
    <col min="13" max="13" width="13.5703125" style="19" customWidth="1"/>
    <col min="14" max="16384" width="9.140625" style="19"/>
  </cols>
  <sheetData>
    <row r="1" spans="3:14" s="1" customFormat="1" ht="15" x14ac:dyDescent="0.25"/>
    <row r="2" spans="3:14" s="1" customFormat="1" ht="32.25" x14ac:dyDescent="0.25">
      <c r="C2" s="145" t="s">
        <v>344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3:14" ht="18.75" customHeight="1" x14ac:dyDescent="0.4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3:14" x14ac:dyDescent="0.4">
      <c r="C4" s="152" t="s">
        <v>5</v>
      </c>
      <c r="D4" s="152"/>
      <c r="E4" s="152"/>
      <c r="F4" s="152"/>
      <c r="G4" s="152"/>
      <c r="H4" s="21"/>
      <c r="I4" s="153" t="s">
        <v>6</v>
      </c>
      <c r="J4" s="153"/>
      <c r="K4" s="153"/>
      <c r="L4" s="153"/>
      <c r="M4" s="153"/>
      <c r="N4" s="21"/>
    </row>
    <row r="5" spans="3:14" ht="27" thickBot="1" x14ac:dyDescent="0.4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3:14" ht="27" thickBot="1" x14ac:dyDescent="0.45">
      <c r="C6" s="154" t="s">
        <v>335</v>
      </c>
      <c r="D6" s="155"/>
      <c r="E6" s="155"/>
      <c r="F6" s="156">
        <v>3.0552000000000001</v>
      </c>
      <c r="G6" s="157"/>
      <c r="H6" s="21"/>
      <c r="I6" s="154" t="s">
        <v>336</v>
      </c>
      <c r="J6" s="155"/>
      <c r="K6" s="155"/>
      <c r="L6" s="156">
        <v>3.1985000000000001</v>
      </c>
      <c r="M6" s="157"/>
      <c r="N6" s="21"/>
    </row>
    <row r="7" spans="3:14" x14ac:dyDescent="0.4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3:14" x14ac:dyDescent="0.4">
      <c r="C8" s="102" t="s">
        <v>7</v>
      </c>
      <c r="D8" s="102" t="s">
        <v>3</v>
      </c>
      <c r="E8" s="102" t="s">
        <v>8</v>
      </c>
      <c r="F8" s="103" t="s">
        <v>337</v>
      </c>
      <c r="G8" s="104" t="s">
        <v>9</v>
      </c>
      <c r="H8" s="21"/>
      <c r="I8" s="102" t="s">
        <v>7</v>
      </c>
      <c r="J8" s="102" t="s">
        <v>3</v>
      </c>
      <c r="K8" s="102" t="s">
        <v>8</v>
      </c>
      <c r="L8" s="103" t="s">
        <v>338</v>
      </c>
      <c r="M8" s="104" t="s">
        <v>9</v>
      </c>
      <c r="N8" s="21"/>
    </row>
    <row r="9" spans="3:14" x14ac:dyDescent="0.4">
      <c r="C9" s="146" t="s">
        <v>10</v>
      </c>
      <c r="D9" s="149">
        <f>$F$6</f>
        <v>3.0552000000000001</v>
      </c>
      <c r="E9" s="85" t="s">
        <v>11</v>
      </c>
      <c r="F9" s="105">
        <v>114.5</v>
      </c>
      <c r="G9" s="106">
        <f>$D$9/F9</f>
        <v>2.6682969432314411E-2</v>
      </c>
      <c r="H9" s="21"/>
      <c r="I9" s="146" t="s">
        <v>10</v>
      </c>
      <c r="J9" s="149">
        <f>$L$6</f>
        <v>3.1985000000000001</v>
      </c>
      <c r="K9" s="85" t="s">
        <v>11</v>
      </c>
      <c r="L9" s="105">
        <v>111</v>
      </c>
      <c r="M9" s="106">
        <f>$J$9/L9</f>
        <v>2.8815315315315317E-2</v>
      </c>
      <c r="N9" s="21"/>
    </row>
    <row r="10" spans="3:14" x14ac:dyDescent="0.4">
      <c r="C10" s="147"/>
      <c r="D10" s="150"/>
      <c r="E10" s="85" t="s">
        <v>12</v>
      </c>
      <c r="F10" s="105">
        <v>1.0129999999999999</v>
      </c>
      <c r="G10" s="106">
        <f t="shared" ref="G10:G18" si="0">$D$9/F10</f>
        <v>3.0159921026653507</v>
      </c>
      <c r="H10" s="21"/>
      <c r="I10" s="147"/>
      <c r="J10" s="150"/>
      <c r="K10" s="85" t="s">
        <v>12</v>
      </c>
      <c r="L10" s="105">
        <v>1.0049999999999999</v>
      </c>
      <c r="M10" s="106">
        <f t="shared" ref="M10:M18" si="1">$J$9/L10</f>
        <v>3.1825870646766172</v>
      </c>
      <c r="N10" s="21"/>
    </row>
    <row r="11" spans="3:14" x14ac:dyDescent="0.4">
      <c r="C11" s="147"/>
      <c r="D11" s="150"/>
      <c r="E11" s="85" t="s">
        <v>13</v>
      </c>
      <c r="F11" s="105">
        <v>6.7702999999999998</v>
      </c>
      <c r="G11" s="106">
        <f t="shared" si="0"/>
        <v>0.45126508426509909</v>
      </c>
      <c r="H11" s="21"/>
      <c r="I11" s="147"/>
      <c r="J11" s="150"/>
      <c r="K11" s="85" t="s">
        <v>13</v>
      </c>
      <c r="L11" s="105">
        <v>6.7595999999999998</v>
      </c>
      <c r="M11" s="106">
        <f t="shared" si="1"/>
        <v>0.47317888632463462</v>
      </c>
      <c r="N11" s="21"/>
    </row>
    <row r="12" spans="3:14" x14ac:dyDescent="0.4">
      <c r="C12" s="147"/>
      <c r="D12" s="150"/>
      <c r="E12" s="85" t="s">
        <v>14</v>
      </c>
      <c r="F12" s="105">
        <v>1.34</v>
      </c>
      <c r="G12" s="106">
        <f t="shared" si="0"/>
        <v>2.2799999999999998</v>
      </c>
      <c r="H12" s="21"/>
      <c r="I12" s="147"/>
      <c r="J12" s="150"/>
      <c r="K12" s="85" t="s">
        <v>14</v>
      </c>
      <c r="L12" s="105">
        <v>1.3236000000000001</v>
      </c>
      <c r="M12" s="106">
        <f t="shared" si="1"/>
        <v>2.4165155636143849</v>
      </c>
      <c r="N12" s="21"/>
    </row>
    <row r="13" spans="3:14" x14ac:dyDescent="0.4">
      <c r="C13" s="147"/>
      <c r="D13" s="150"/>
      <c r="E13" s="85" t="s">
        <v>15</v>
      </c>
      <c r="F13" s="105">
        <v>8.9550000000000001</v>
      </c>
      <c r="G13" s="106">
        <f t="shared" si="0"/>
        <v>0.34117252931323283</v>
      </c>
      <c r="H13" s="21"/>
      <c r="I13" s="147"/>
      <c r="J13" s="150"/>
      <c r="K13" s="85" t="s">
        <v>15</v>
      </c>
      <c r="L13" s="105">
        <v>9.0749999999999993</v>
      </c>
      <c r="M13" s="106">
        <f t="shared" si="1"/>
        <v>0.35245179063360887</v>
      </c>
      <c r="N13" s="21"/>
    </row>
    <row r="14" spans="3:14" x14ac:dyDescent="0.4">
      <c r="C14" s="147"/>
      <c r="D14" s="150"/>
      <c r="E14" s="85" t="s">
        <v>16</v>
      </c>
      <c r="F14" s="105">
        <v>8.57</v>
      </c>
      <c r="G14" s="106">
        <f t="shared" si="0"/>
        <v>0.35649941656942824</v>
      </c>
      <c r="H14" s="21"/>
      <c r="I14" s="147"/>
      <c r="J14" s="150"/>
      <c r="K14" s="85" t="s">
        <v>16</v>
      </c>
      <c r="L14" s="105">
        <v>8.577</v>
      </c>
      <c r="M14" s="106">
        <f t="shared" si="1"/>
        <v>0.37291593797365047</v>
      </c>
      <c r="N14" s="21"/>
    </row>
    <row r="15" spans="3:14" x14ac:dyDescent="0.4">
      <c r="C15" s="147"/>
      <c r="D15" s="150"/>
      <c r="E15" s="85" t="s">
        <v>17</v>
      </c>
      <c r="F15" s="105">
        <v>6.8605</v>
      </c>
      <c r="G15" s="106">
        <f t="shared" si="0"/>
        <v>0.44533197288827348</v>
      </c>
      <c r="H15" s="21"/>
      <c r="I15" s="147"/>
      <c r="J15" s="150"/>
      <c r="K15" s="85" t="s">
        <v>17</v>
      </c>
      <c r="L15" s="105">
        <v>6.6707999999999998</v>
      </c>
      <c r="M15" s="106">
        <f t="shared" si="1"/>
        <v>0.47947772381123704</v>
      </c>
      <c r="N15" s="21"/>
    </row>
    <row r="16" spans="3:14" x14ac:dyDescent="0.4">
      <c r="C16" s="147"/>
      <c r="D16" s="150"/>
      <c r="E16" s="85" t="s">
        <v>18</v>
      </c>
      <c r="F16" s="105">
        <v>18.7973</v>
      </c>
      <c r="G16" s="106">
        <f t="shared" si="0"/>
        <v>0.16253398094407176</v>
      </c>
      <c r="H16" s="21"/>
      <c r="I16" s="147"/>
      <c r="J16" s="150"/>
      <c r="K16" s="85" t="s">
        <v>18</v>
      </c>
      <c r="L16" s="105">
        <v>21</v>
      </c>
      <c r="M16" s="106">
        <f>$J$9/L16</f>
        <v>0.15230952380952381</v>
      </c>
      <c r="N16" s="21"/>
    </row>
    <row r="17" spans="3:14" x14ac:dyDescent="0.4">
      <c r="C17" s="147"/>
      <c r="D17" s="150"/>
      <c r="E17" s="85" t="s">
        <v>19</v>
      </c>
      <c r="F17" s="105">
        <v>3.0335999999999999</v>
      </c>
      <c r="G17" s="106">
        <f t="shared" si="0"/>
        <v>1.0071202531645571</v>
      </c>
      <c r="H17" s="21"/>
      <c r="I17" s="147"/>
      <c r="J17" s="150"/>
      <c r="K17" s="85" t="s">
        <v>19</v>
      </c>
      <c r="L17" s="105">
        <v>3.0238999999999998</v>
      </c>
      <c r="M17" s="106">
        <f t="shared" si="1"/>
        <v>1.0577400046297829</v>
      </c>
      <c r="N17" s="21"/>
    </row>
    <row r="18" spans="3:14" x14ac:dyDescent="0.4">
      <c r="C18" s="148"/>
      <c r="D18" s="151"/>
      <c r="E18" s="85" t="s">
        <v>20</v>
      </c>
      <c r="F18" s="105">
        <v>7.7619999999999996</v>
      </c>
      <c r="G18" s="106">
        <f t="shared" si="0"/>
        <v>0.39360989435712451</v>
      </c>
      <c r="H18" s="21"/>
      <c r="I18" s="148"/>
      <c r="J18" s="151"/>
      <c r="K18" s="85" t="s">
        <v>20</v>
      </c>
      <c r="L18" s="105">
        <v>7.7518000000000002</v>
      </c>
      <c r="M18" s="106">
        <f t="shared" si="1"/>
        <v>0.41261384452643257</v>
      </c>
      <c r="N18" s="21"/>
    </row>
    <row r="19" spans="3:14" ht="18.75" customHeight="1" x14ac:dyDescent="0.4">
      <c r="C19" s="21"/>
      <c r="D19" s="21"/>
      <c r="E19" s="107"/>
      <c r="F19" s="21"/>
      <c r="G19" s="21"/>
      <c r="H19" s="21"/>
      <c r="I19" s="21"/>
      <c r="J19" s="21"/>
      <c r="K19" s="21"/>
      <c r="L19" s="21"/>
      <c r="M19" s="21"/>
      <c r="N19" s="21"/>
    </row>
    <row r="20" spans="3:14" ht="18.75" customHeight="1" x14ac:dyDescent="0.4">
      <c r="C20" s="21"/>
      <c r="D20" s="10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3:14" x14ac:dyDescent="0.4">
      <c r="C21" s="21"/>
      <c r="D21" s="108"/>
      <c r="E21" s="21"/>
      <c r="F21" s="158" t="s">
        <v>21</v>
      </c>
      <c r="G21" s="158"/>
      <c r="H21" s="158"/>
      <c r="I21" s="158"/>
      <c r="J21" s="158"/>
      <c r="K21" s="158"/>
      <c r="L21" s="21"/>
      <c r="M21" s="21"/>
      <c r="N21" s="21"/>
    </row>
    <row r="22" spans="3:14" x14ac:dyDescent="0.4">
      <c r="C22" s="21"/>
      <c r="D22" s="101"/>
      <c r="E22" s="21"/>
      <c r="F22" s="86" t="s">
        <v>22</v>
      </c>
      <c r="G22" s="161" t="s">
        <v>0</v>
      </c>
      <c r="H22" s="161"/>
      <c r="I22" s="161"/>
      <c r="J22" s="161"/>
      <c r="K22" s="161"/>
      <c r="L22" s="21"/>
      <c r="M22" s="21"/>
      <c r="N22" s="21"/>
    </row>
    <row r="23" spans="3:14" x14ac:dyDescent="0.4">
      <c r="C23" s="21"/>
      <c r="D23" s="21"/>
      <c r="E23" s="21"/>
      <c r="F23" s="109" t="s">
        <v>11</v>
      </c>
      <c r="G23" s="163" t="s">
        <v>23</v>
      </c>
      <c r="H23" s="163"/>
      <c r="I23" s="163"/>
      <c r="J23" s="163"/>
      <c r="K23" s="163"/>
      <c r="L23" s="21"/>
      <c r="M23" s="21"/>
      <c r="N23" s="21"/>
    </row>
    <row r="24" spans="3:14" x14ac:dyDescent="0.4">
      <c r="C24" s="21"/>
      <c r="D24" s="21"/>
      <c r="E24" s="21"/>
      <c r="F24" s="109" t="s">
        <v>12</v>
      </c>
      <c r="G24" s="163" t="s">
        <v>24</v>
      </c>
      <c r="H24" s="163"/>
      <c r="I24" s="163"/>
      <c r="J24" s="163"/>
      <c r="K24" s="163"/>
      <c r="L24" s="21"/>
      <c r="M24" s="21"/>
      <c r="N24" s="21"/>
    </row>
    <row r="25" spans="3:14" x14ac:dyDescent="0.4">
      <c r="C25" s="21"/>
      <c r="D25" s="21"/>
      <c r="E25" s="21"/>
      <c r="F25" s="109" t="s">
        <v>13</v>
      </c>
      <c r="G25" s="163" t="s">
        <v>25</v>
      </c>
      <c r="H25" s="163"/>
      <c r="I25" s="163"/>
      <c r="J25" s="163"/>
      <c r="K25" s="163"/>
      <c r="L25" s="110"/>
      <c r="M25" s="21"/>
      <c r="N25" s="21"/>
    </row>
    <row r="26" spans="3:14" x14ac:dyDescent="0.4">
      <c r="C26" s="21"/>
      <c r="D26" s="21"/>
      <c r="E26" s="21"/>
      <c r="F26" s="109" t="s">
        <v>14</v>
      </c>
      <c r="G26" s="163" t="s">
        <v>26</v>
      </c>
      <c r="H26" s="163"/>
      <c r="I26" s="163"/>
      <c r="J26" s="163"/>
      <c r="K26" s="163"/>
      <c r="L26" s="21"/>
      <c r="M26" s="21"/>
      <c r="N26" s="21"/>
    </row>
    <row r="27" spans="3:14" x14ac:dyDescent="0.4">
      <c r="C27" s="21"/>
      <c r="D27" s="21"/>
      <c r="E27" s="21"/>
      <c r="F27" s="109" t="s">
        <v>15</v>
      </c>
      <c r="G27" s="163" t="s">
        <v>27</v>
      </c>
      <c r="H27" s="163"/>
      <c r="I27" s="163"/>
      <c r="J27" s="163"/>
      <c r="K27" s="163"/>
      <c r="L27" s="21"/>
      <c r="M27" s="21"/>
      <c r="N27" s="21"/>
    </row>
    <row r="28" spans="3:14" x14ac:dyDescent="0.4">
      <c r="C28" s="21"/>
      <c r="D28" s="21"/>
      <c r="E28" s="21"/>
      <c r="F28" s="109" t="s">
        <v>16</v>
      </c>
      <c r="G28" s="163" t="s">
        <v>28</v>
      </c>
      <c r="H28" s="163"/>
      <c r="I28" s="163"/>
      <c r="J28" s="163"/>
      <c r="K28" s="163"/>
      <c r="L28" s="21"/>
      <c r="M28" s="21"/>
      <c r="N28" s="21"/>
    </row>
    <row r="29" spans="3:14" x14ac:dyDescent="0.4">
      <c r="C29" s="21"/>
      <c r="D29" s="21"/>
      <c r="E29" s="21"/>
      <c r="F29" s="109" t="s">
        <v>17</v>
      </c>
      <c r="G29" s="163" t="s">
        <v>29</v>
      </c>
      <c r="H29" s="163"/>
      <c r="I29" s="163"/>
      <c r="J29" s="163"/>
      <c r="K29" s="163"/>
      <c r="L29" s="21"/>
      <c r="M29" s="21"/>
      <c r="N29" s="21"/>
    </row>
    <row r="30" spans="3:14" x14ac:dyDescent="0.4">
      <c r="C30" s="21"/>
      <c r="D30" s="21"/>
      <c r="E30" s="21"/>
      <c r="F30" s="109" t="s">
        <v>18</v>
      </c>
      <c r="G30" s="163" t="s">
        <v>30</v>
      </c>
      <c r="H30" s="163"/>
      <c r="I30" s="163"/>
      <c r="J30" s="163"/>
      <c r="K30" s="163"/>
      <c r="L30" s="21"/>
      <c r="M30" s="21"/>
      <c r="N30" s="21"/>
    </row>
    <row r="31" spans="3:14" x14ac:dyDescent="0.4">
      <c r="C31" s="21"/>
      <c r="D31" s="21"/>
      <c r="E31" s="21"/>
      <c r="F31" s="109" t="s">
        <v>19</v>
      </c>
      <c r="G31" s="163" t="s">
        <v>31</v>
      </c>
      <c r="H31" s="163"/>
      <c r="I31" s="163"/>
      <c r="J31" s="163"/>
      <c r="K31" s="163"/>
      <c r="L31" s="21"/>
      <c r="M31" s="21"/>
      <c r="N31" s="21"/>
    </row>
    <row r="32" spans="3:14" x14ac:dyDescent="0.4">
      <c r="C32" s="21"/>
      <c r="D32" s="21"/>
      <c r="E32" s="21"/>
      <c r="F32" s="109" t="s">
        <v>20</v>
      </c>
      <c r="G32" s="163" t="s">
        <v>32</v>
      </c>
      <c r="H32" s="163"/>
      <c r="I32" s="163"/>
      <c r="J32" s="163"/>
      <c r="K32" s="163"/>
      <c r="L32" s="21"/>
      <c r="M32" s="21"/>
      <c r="N32" s="21"/>
    </row>
  </sheetData>
  <mergeCells count="23">
    <mergeCell ref="G30:K30"/>
    <mergeCell ref="G31:K31"/>
    <mergeCell ref="G32:K32"/>
    <mergeCell ref="F21:K21"/>
    <mergeCell ref="G22:K22"/>
    <mergeCell ref="G23:K23"/>
    <mergeCell ref="G24:K24"/>
    <mergeCell ref="G25:K25"/>
    <mergeCell ref="G26:K26"/>
    <mergeCell ref="G27:K27"/>
    <mergeCell ref="G28:K28"/>
    <mergeCell ref="G29:K29"/>
    <mergeCell ref="D9:D18"/>
    <mergeCell ref="C9:C18"/>
    <mergeCell ref="I9:I18"/>
    <mergeCell ref="J9:J18"/>
    <mergeCell ref="C2:N2"/>
    <mergeCell ref="C4:G4"/>
    <mergeCell ref="I4:M4"/>
    <mergeCell ref="C6:E6"/>
    <mergeCell ref="F6:G6"/>
    <mergeCell ref="I6:K6"/>
    <mergeCell ref="L6:M6"/>
  </mergeCells>
  <hyperlinks>
    <hyperlink ref="E8" location="Moedas!A1" display="M.E." xr:uid="{00000000-0004-0000-0800-000000000000}"/>
    <hyperlink ref="K8" location="Moedas!A1" display="M.E." xr:uid="{00000000-0004-0000-0800-000001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34FB4-A097-4349-9D16-670ACC5400C4}">
  <sheetPr>
    <tabColor theme="3" tint="0.39997558519241921"/>
  </sheetPr>
  <dimension ref="E2:O15"/>
  <sheetViews>
    <sheetView workbookViewId="0"/>
  </sheetViews>
  <sheetFormatPr defaultRowHeight="15" x14ac:dyDescent="0.25"/>
  <cols>
    <col min="1" max="4" width="10.7109375" style="1" customWidth="1"/>
    <col min="5" max="16384" width="9.140625" style="1"/>
  </cols>
  <sheetData>
    <row r="2" spans="5:15" ht="32.25" x14ac:dyDescent="0.25">
      <c r="E2" s="145" t="s">
        <v>328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5" spans="5:15" s="95" customFormat="1" ht="19.5" x14ac:dyDescent="0.25">
      <c r="H5" s="166" t="s">
        <v>330</v>
      </c>
      <c r="I5" s="166"/>
      <c r="J5" s="166"/>
      <c r="K5" s="166"/>
      <c r="L5" s="166"/>
    </row>
    <row r="6" spans="5:15" s="95" customFormat="1" ht="15.75" x14ac:dyDescent="0.25"/>
    <row r="7" spans="5:15" s="95" customFormat="1" ht="15.75" x14ac:dyDescent="0.25">
      <c r="H7" s="164" t="s">
        <v>329</v>
      </c>
      <c r="I7" s="164"/>
      <c r="J7" s="164"/>
      <c r="K7" s="164"/>
      <c r="L7" s="164"/>
    </row>
    <row r="8" spans="5:15" x14ac:dyDescent="0.25">
      <c r="H8" s="167">
        <v>43553</v>
      </c>
      <c r="I8" s="129"/>
      <c r="J8" s="129"/>
      <c r="K8" s="129"/>
      <c r="L8" s="129"/>
    </row>
    <row r="10" spans="5:15" ht="15.75" x14ac:dyDescent="0.25">
      <c r="H10" s="164" t="s">
        <v>329</v>
      </c>
      <c r="I10" s="164"/>
      <c r="J10" s="164"/>
      <c r="K10" s="164"/>
      <c r="L10" s="164"/>
    </row>
    <row r="11" spans="5:15" x14ac:dyDescent="0.25">
      <c r="H11" s="167">
        <v>43738</v>
      </c>
      <c r="I11" s="129"/>
      <c r="J11" s="129"/>
      <c r="K11" s="129"/>
      <c r="L11" s="129"/>
    </row>
    <row r="14" spans="5:15" ht="15.75" x14ac:dyDescent="0.25">
      <c r="H14" s="164" t="s">
        <v>330</v>
      </c>
      <c r="I14" s="164"/>
      <c r="J14" s="164"/>
      <c r="K14" s="164"/>
      <c r="L14" s="164"/>
    </row>
    <row r="15" spans="5:15" ht="15.75" x14ac:dyDescent="0.25">
      <c r="H15" s="165">
        <f>H11-H8</f>
        <v>185</v>
      </c>
      <c r="I15" s="165"/>
      <c r="J15" s="165"/>
      <c r="K15" s="165"/>
      <c r="L15" s="165"/>
    </row>
  </sheetData>
  <mergeCells count="8">
    <mergeCell ref="H14:L14"/>
    <mergeCell ref="H15:L15"/>
    <mergeCell ref="E2:O2"/>
    <mergeCell ref="H5:L5"/>
    <mergeCell ref="H7:L7"/>
    <mergeCell ref="H8:L8"/>
    <mergeCell ref="H10:L10"/>
    <mergeCell ref="H11:L1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6">
    <tabColor theme="3" tint="-0.249977111117893"/>
  </sheetPr>
  <dimension ref="C2:Q14"/>
  <sheetViews>
    <sheetView workbookViewId="0"/>
  </sheetViews>
  <sheetFormatPr defaultRowHeight="15" x14ac:dyDescent="0.25"/>
  <cols>
    <col min="1" max="16384" width="9.140625" style="12"/>
  </cols>
  <sheetData>
    <row r="2" spans="3:17" ht="32.25" x14ac:dyDescent="0.25">
      <c r="E2" s="145" t="s">
        <v>222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6" spans="3:17" ht="19.5" x14ac:dyDescent="0.25">
      <c r="E6" s="168" t="s">
        <v>5</v>
      </c>
      <c r="F6" s="168"/>
      <c r="G6" s="168"/>
      <c r="H6" s="168"/>
      <c r="I6" s="168"/>
      <c r="M6" s="153" t="s">
        <v>6</v>
      </c>
      <c r="N6" s="153"/>
      <c r="O6" s="153"/>
      <c r="P6" s="153"/>
      <c r="Q6" s="153"/>
    </row>
    <row r="8" spans="3:17" ht="19.5" x14ac:dyDescent="0.25">
      <c r="C8" s="170" t="s">
        <v>82</v>
      </c>
      <c r="D8" s="171"/>
      <c r="E8" s="169" t="s">
        <v>287</v>
      </c>
      <c r="F8" s="169"/>
      <c r="G8" s="169"/>
      <c r="H8" s="169"/>
      <c r="I8" s="169"/>
      <c r="J8" s="47"/>
      <c r="K8" s="170" t="s">
        <v>82</v>
      </c>
      <c r="L8" s="171"/>
      <c r="M8" s="169" t="s">
        <v>288</v>
      </c>
      <c r="N8" s="169"/>
      <c r="O8" s="169"/>
      <c r="P8" s="169"/>
      <c r="Q8" s="169"/>
    </row>
    <row r="9" spans="3:17" ht="19.5" x14ac:dyDescent="0.25">
      <c r="C9" s="170" t="s">
        <v>3</v>
      </c>
      <c r="D9" s="171"/>
      <c r="E9" s="172">
        <v>119000</v>
      </c>
      <c r="F9" s="172"/>
      <c r="G9" s="172"/>
      <c r="H9" s="172"/>
      <c r="I9" s="172"/>
      <c r="J9" s="47"/>
      <c r="K9" s="170" t="s">
        <v>3</v>
      </c>
      <c r="L9" s="171"/>
      <c r="M9" s="172">
        <v>1798</v>
      </c>
      <c r="N9" s="172"/>
      <c r="O9" s="172"/>
      <c r="P9" s="172"/>
      <c r="Q9" s="172"/>
    </row>
    <row r="10" spans="3:17" ht="19.5" x14ac:dyDescent="0.25">
      <c r="C10" s="170" t="s">
        <v>229</v>
      </c>
      <c r="D10" s="171"/>
      <c r="E10" s="173">
        <v>3.0200999999999998</v>
      </c>
      <c r="F10" s="173"/>
      <c r="G10" s="173"/>
      <c r="H10" s="173"/>
      <c r="I10" s="173"/>
      <c r="J10" s="47"/>
      <c r="K10" s="170" t="s">
        <v>229</v>
      </c>
      <c r="L10" s="171"/>
      <c r="M10" s="173">
        <v>3.2621121</v>
      </c>
      <c r="N10" s="173"/>
      <c r="O10" s="173"/>
      <c r="P10" s="173"/>
      <c r="Q10" s="173"/>
    </row>
    <row r="11" spans="3:17" ht="19.5" x14ac:dyDescent="0.25">
      <c r="C11" s="175" t="s">
        <v>230</v>
      </c>
      <c r="D11" s="176"/>
      <c r="E11" s="174">
        <v>3.08</v>
      </c>
      <c r="F11" s="174"/>
      <c r="G11" s="174"/>
      <c r="H11" s="174"/>
      <c r="I11" s="174"/>
      <c r="J11" s="47"/>
      <c r="K11" s="175" t="s">
        <v>232</v>
      </c>
      <c r="L11" s="176"/>
      <c r="M11" s="174">
        <v>3.1970000000000001</v>
      </c>
      <c r="N11" s="174"/>
      <c r="O11" s="174"/>
      <c r="P11" s="174"/>
      <c r="Q11" s="174"/>
    </row>
    <row r="12" spans="3:17" ht="19.5" x14ac:dyDescent="0.25">
      <c r="C12" s="175" t="s">
        <v>231</v>
      </c>
      <c r="D12" s="176"/>
      <c r="E12" s="178">
        <f>E10-E11</f>
        <v>-5.9900000000000286E-2</v>
      </c>
      <c r="F12" s="179"/>
      <c r="G12" s="179"/>
      <c r="H12" s="179"/>
      <c r="I12" s="180"/>
      <c r="J12" s="47"/>
      <c r="K12" s="175" t="s">
        <v>231</v>
      </c>
      <c r="L12" s="176"/>
      <c r="M12" s="181">
        <f>M10-M11</f>
        <v>6.5112099999999895E-2</v>
      </c>
      <c r="N12" s="182"/>
      <c r="O12" s="182"/>
      <c r="P12" s="182"/>
      <c r="Q12" s="182"/>
    </row>
    <row r="13" spans="3:17" ht="19.5" x14ac:dyDescent="0.25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3:17" ht="19.5" x14ac:dyDescent="0.25">
      <c r="C14" s="170" t="s">
        <v>233</v>
      </c>
      <c r="D14" s="170"/>
      <c r="E14" s="177">
        <f>E12*E9</f>
        <v>-7128.100000000034</v>
      </c>
      <c r="F14" s="177"/>
      <c r="G14" s="177"/>
      <c r="H14" s="177"/>
      <c r="I14" s="177"/>
      <c r="J14" s="47"/>
      <c r="K14" s="170" t="s">
        <v>233</v>
      </c>
      <c r="L14" s="170"/>
      <c r="M14" s="177">
        <f>M12*M9</f>
        <v>117.07155579999981</v>
      </c>
      <c r="N14" s="177"/>
      <c r="O14" s="177"/>
      <c r="P14" s="177"/>
      <c r="Q14" s="177"/>
    </row>
  </sheetData>
  <mergeCells count="27">
    <mergeCell ref="M14:Q14"/>
    <mergeCell ref="K14:L14"/>
    <mergeCell ref="K12:L12"/>
    <mergeCell ref="E9:I9"/>
    <mergeCell ref="E10:I10"/>
    <mergeCell ref="E11:I11"/>
    <mergeCell ref="E12:I12"/>
    <mergeCell ref="M12:Q12"/>
    <mergeCell ref="C14:D14"/>
    <mergeCell ref="E14:I14"/>
    <mergeCell ref="C12:D12"/>
    <mergeCell ref="C11:D11"/>
    <mergeCell ref="C10:D10"/>
    <mergeCell ref="C9:D9"/>
    <mergeCell ref="C8:D8"/>
    <mergeCell ref="M9:Q9"/>
    <mergeCell ref="M10:Q10"/>
    <mergeCell ref="M11:Q11"/>
    <mergeCell ref="K11:L11"/>
    <mergeCell ref="K10:L10"/>
    <mergeCell ref="K9:L9"/>
    <mergeCell ref="E2:Q2"/>
    <mergeCell ref="E6:I6"/>
    <mergeCell ref="M6:Q6"/>
    <mergeCell ref="E8:I8"/>
    <mergeCell ref="M8:Q8"/>
    <mergeCell ref="K8:L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7">
    <tabColor theme="3" tint="0.39997558519241921"/>
  </sheetPr>
  <dimension ref="F2:Q28"/>
  <sheetViews>
    <sheetView workbookViewId="0">
      <selection activeCell="G5" sqref="G5:O5"/>
    </sheetView>
  </sheetViews>
  <sheetFormatPr defaultRowHeight="15" x14ac:dyDescent="0.25"/>
  <cols>
    <col min="1" max="13" width="9.140625" style="12"/>
    <col min="14" max="15" width="12.140625" style="12" customWidth="1"/>
    <col min="16" max="16384" width="9.140625" style="12"/>
  </cols>
  <sheetData>
    <row r="2" spans="6:17" ht="32.25" x14ac:dyDescent="0.25">
      <c r="F2" s="13"/>
      <c r="G2" s="145" t="s">
        <v>223</v>
      </c>
      <c r="H2" s="145"/>
      <c r="I2" s="145"/>
      <c r="J2" s="145"/>
      <c r="K2" s="145"/>
      <c r="L2" s="145"/>
      <c r="M2" s="145"/>
      <c r="N2" s="145"/>
      <c r="O2" s="145"/>
      <c r="P2" s="13"/>
      <c r="Q2" s="13"/>
    </row>
    <row r="5" spans="6:17" ht="19.5" x14ac:dyDescent="0.25">
      <c r="G5" s="193" t="s">
        <v>236</v>
      </c>
      <c r="H5" s="193"/>
      <c r="I5" s="193"/>
      <c r="J5" s="193"/>
      <c r="K5" s="193"/>
      <c r="L5" s="193"/>
      <c r="M5" s="193"/>
      <c r="N5" s="193"/>
      <c r="O5" s="193"/>
    </row>
    <row r="7" spans="6:17" ht="19.5" x14ac:dyDescent="0.25">
      <c r="G7" s="185" t="s">
        <v>0</v>
      </c>
      <c r="H7" s="185"/>
      <c r="I7" s="185" t="s">
        <v>234</v>
      </c>
      <c r="J7" s="185"/>
      <c r="K7" s="185" t="s">
        <v>1</v>
      </c>
      <c r="L7" s="185"/>
      <c r="M7" s="48"/>
      <c r="N7" s="185" t="s">
        <v>223</v>
      </c>
      <c r="O7" s="185"/>
    </row>
    <row r="9" spans="6:17" ht="19.5" x14ac:dyDescent="0.25">
      <c r="G9" s="186" t="s">
        <v>34</v>
      </c>
      <c r="H9" s="186"/>
      <c r="I9" s="187">
        <v>624.42999999999995</v>
      </c>
      <c r="J9" s="187"/>
      <c r="K9" s="188">
        <v>0.77500000000000002</v>
      </c>
      <c r="L9" s="188"/>
      <c r="M9" s="47"/>
      <c r="N9" s="183">
        <f>I9*K9</f>
        <v>483.93324999999999</v>
      </c>
      <c r="O9" s="183"/>
    </row>
    <row r="10" spans="6:17" ht="19.5" x14ac:dyDescent="0.25">
      <c r="G10" s="186" t="s">
        <v>36</v>
      </c>
      <c r="H10" s="186"/>
      <c r="I10" s="187">
        <v>4897.59</v>
      </c>
      <c r="J10" s="187"/>
      <c r="K10" s="188">
        <v>1.0660000000000001</v>
      </c>
      <c r="L10" s="188"/>
      <c r="M10" s="47"/>
      <c r="N10" s="183">
        <f t="shared" ref="N10:N12" si="0">I10*K10</f>
        <v>5220.8309400000007</v>
      </c>
      <c r="O10" s="183"/>
    </row>
    <row r="11" spans="6:17" ht="19.5" x14ac:dyDescent="0.25">
      <c r="G11" s="186" t="s">
        <v>35</v>
      </c>
      <c r="H11" s="186"/>
      <c r="I11" s="187">
        <v>1375</v>
      </c>
      <c r="J11" s="187"/>
      <c r="K11" s="188">
        <v>1.26</v>
      </c>
      <c r="L11" s="188"/>
      <c r="M11" s="47"/>
      <c r="N11" s="183">
        <f t="shared" si="0"/>
        <v>1732.5</v>
      </c>
      <c r="O11" s="183"/>
    </row>
    <row r="12" spans="6:17" ht="19.5" x14ac:dyDescent="0.25">
      <c r="G12" s="186" t="s">
        <v>33</v>
      </c>
      <c r="H12" s="186"/>
      <c r="I12" s="187">
        <v>0</v>
      </c>
      <c r="J12" s="187"/>
      <c r="K12" s="188">
        <v>0.71099999999999997</v>
      </c>
      <c r="L12" s="188"/>
      <c r="M12" s="47"/>
      <c r="N12" s="183">
        <f t="shared" si="0"/>
        <v>0</v>
      </c>
      <c r="O12" s="183"/>
    </row>
    <row r="15" spans="6:17" ht="19.5" x14ac:dyDescent="0.25">
      <c r="G15" s="184" t="s">
        <v>237</v>
      </c>
      <c r="H15" s="184"/>
      <c r="I15" s="184"/>
      <c r="J15" s="184"/>
      <c r="K15" s="184"/>
      <c r="L15" s="184"/>
      <c r="M15" s="184"/>
      <c r="N15" s="184"/>
      <c r="O15" s="184"/>
    </row>
    <row r="17" spans="7:15" ht="19.5" x14ac:dyDescent="0.25">
      <c r="G17" s="185" t="s">
        <v>0</v>
      </c>
      <c r="H17" s="185"/>
      <c r="I17" s="185" t="s">
        <v>234</v>
      </c>
      <c r="J17" s="185"/>
      <c r="K17" s="185" t="s">
        <v>1</v>
      </c>
      <c r="L17" s="185"/>
      <c r="M17" s="48"/>
      <c r="N17" s="185" t="s">
        <v>223</v>
      </c>
      <c r="O17" s="185"/>
    </row>
    <row r="19" spans="7:15" ht="19.5" x14ac:dyDescent="0.25">
      <c r="G19" s="186" t="s">
        <v>235</v>
      </c>
      <c r="H19" s="186"/>
      <c r="I19" s="187">
        <v>100</v>
      </c>
      <c r="J19" s="187"/>
      <c r="K19" s="188">
        <v>1.2985</v>
      </c>
      <c r="L19" s="188"/>
      <c r="M19" s="47"/>
      <c r="N19" s="183">
        <f>I19/K19</f>
        <v>77.011936850211782</v>
      </c>
      <c r="O19" s="183"/>
    </row>
    <row r="20" spans="7:15" ht="19.5" x14ac:dyDescent="0.25">
      <c r="G20" s="186" t="s">
        <v>243</v>
      </c>
      <c r="H20" s="186"/>
      <c r="I20" s="187">
        <v>0</v>
      </c>
      <c r="J20" s="187"/>
      <c r="K20" s="188">
        <v>6.9</v>
      </c>
      <c r="L20" s="188"/>
      <c r="M20" s="47"/>
      <c r="N20" s="183">
        <f t="shared" ref="N20:N25" si="1">I20/K20</f>
        <v>0</v>
      </c>
      <c r="O20" s="183"/>
    </row>
    <row r="21" spans="7:15" ht="19.5" x14ac:dyDescent="0.25">
      <c r="G21" s="186" t="s">
        <v>242</v>
      </c>
      <c r="H21" s="186"/>
      <c r="I21" s="187">
        <v>650</v>
      </c>
      <c r="J21" s="187"/>
      <c r="K21" s="188">
        <v>6.9729999999999999</v>
      </c>
      <c r="L21" s="188"/>
      <c r="M21" s="47"/>
      <c r="N21" s="183">
        <f t="shared" si="1"/>
        <v>93.216692958554432</v>
      </c>
      <c r="O21" s="183"/>
    </row>
    <row r="22" spans="7:15" ht="19.5" x14ac:dyDescent="0.25">
      <c r="G22" s="186" t="s">
        <v>241</v>
      </c>
      <c r="H22" s="186"/>
      <c r="I22" s="187">
        <v>900</v>
      </c>
      <c r="J22" s="187"/>
      <c r="K22" s="188">
        <v>8.2899999999999991</v>
      </c>
      <c r="L22" s="188"/>
      <c r="M22" s="47"/>
      <c r="N22" s="183">
        <f t="shared" si="1"/>
        <v>108.56453558504224</v>
      </c>
      <c r="O22" s="183"/>
    </row>
    <row r="23" spans="7:15" ht="19.5" x14ac:dyDescent="0.25">
      <c r="G23" s="186" t="s">
        <v>238</v>
      </c>
      <c r="H23" s="186"/>
      <c r="I23" s="187">
        <v>183.43</v>
      </c>
      <c r="J23" s="187"/>
      <c r="K23" s="188">
        <v>8.9450000000000003</v>
      </c>
      <c r="L23" s="188"/>
      <c r="M23" s="47"/>
      <c r="N23" s="183">
        <f t="shared" si="1"/>
        <v>20.506428172163218</v>
      </c>
      <c r="O23" s="183"/>
    </row>
    <row r="24" spans="7:15" ht="19.5" x14ac:dyDescent="0.25">
      <c r="G24" s="186" t="s">
        <v>239</v>
      </c>
      <c r="H24" s="186"/>
      <c r="I24" s="187">
        <v>0</v>
      </c>
      <c r="J24" s="187"/>
      <c r="K24" s="188">
        <v>1.0141</v>
      </c>
      <c r="L24" s="188"/>
      <c r="M24" s="47"/>
      <c r="N24" s="183">
        <f t="shared" si="1"/>
        <v>0</v>
      </c>
      <c r="O24" s="183"/>
    </row>
    <row r="25" spans="7:15" ht="19.5" x14ac:dyDescent="0.25">
      <c r="G25" s="186" t="s">
        <v>240</v>
      </c>
      <c r="H25" s="186"/>
      <c r="I25" s="187">
        <v>282347.05</v>
      </c>
      <c r="J25" s="187"/>
      <c r="K25" s="188">
        <v>111</v>
      </c>
      <c r="L25" s="188"/>
      <c r="M25" s="47"/>
      <c r="N25" s="183">
        <f t="shared" si="1"/>
        <v>2543.667117117117</v>
      </c>
      <c r="O25" s="183"/>
    </row>
    <row r="28" spans="7:15" ht="19.5" x14ac:dyDescent="0.25">
      <c r="G28" s="189" t="s">
        <v>244</v>
      </c>
      <c r="H28" s="190"/>
      <c r="I28" s="190"/>
      <c r="J28" s="190"/>
      <c r="K28" s="190"/>
      <c r="L28" s="191"/>
      <c r="N28" s="192">
        <f>SUM(N9:O12,N19:O25)</f>
        <v>10280.230900683089</v>
      </c>
      <c r="O28" s="192"/>
    </row>
  </sheetData>
  <sortState xmlns:xlrd2="http://schemas.microsoft.com/office/spreadsheetml/2017/richdata2" ref="G9:H12">
    <sortCondition ref="G9"/>
  </sortState>
  <mergeCells count="57">
    <mergeCell ref="G2:O2"/>
    <mergeCell ref="K11:L11"/>
    <mergeCell ref="N11:O11"/>
    <mergeCell ref="G12:H12"/>
    <mergeCell ref="I12:J12"/>
    <mergeCell ref="K12:L12"/>
    <mergeCell ref="N12:O12"/>
    <mergeCell ref="G10:H10"/>
    <mergeCell ref="I10:J10"/>
    <mergeCell ref="K10:L10"/>
    <mergeCell ref="N10:O10"/>
    <mergeCell ref="G11:H11"/>
    <mergeCell ref="I11:J11"/>
    <mergeCell ref="G5:O5"/>
    <mergeCell ref="N7:O7"/>
    <mergeCell ref="K7:L7"/>
    <mergeCell ref="G25:H25"/>
    <mergeCell ref="I25:J25"/>
    <mergeCell ref="K25:L25"/>
    <mergeCell ref="N25:O25"/>
    <mergeCell ref="G28:L28"/>
    <mergeCell ref="N28:O28"/>
    <mergeCell ref="G23:H23"/>
    <mergeCell ref="I23:J23"/>
    <mergeCell ref="K23:L23"/>
    <mergeCell ref="N23:O23"/>
    <mergeCell ref="I24:J24"/>
    <mergeCell ref="K24:L24"/>
    <mergeCell ref="N24:O24"/>
    <mergeCell ref="G24:H24"/>
    <mergeCell ref="G21:H21"/>
    <mergeCell ref="I21:J21"/>
    <mergeCell ref="K21:L21"/>
    <mergeCell ref="N21:O21"/>
    <mergeCell ref="G22:H22"/>
    <mergeCell ref="I22:J22"/>
    <mergeCell ref="K22:L22"/>
    <mergeCell ref="N22:O22"/>
    <mergeCell ref="G20:H20"/>
    <mergeCell ref="I20:J20"/>
    <mergeCell ref="K20:L20"/>
    <mergeCell ref="N20:O20"/>
    <mergeCell ref="G19:H19"/>
    <mergeCell ref="I19:J19"/>
    <mergeCell ref="K19:L19"/>
    <mergeCell ref="N19:O19"/>
    <mergeCell ref="N9:O9"/>
    <mergeCell ref="G15:O15"/>
    <mergeCell ref="G17:H17"/>
    <mergeCell ref="I17:J17"/>
    <mergeCell ref="I7:J7"/>
    <mergeCell ref="G7:H7"/>
    <mergeCell ref="G9:H9"/>
    <mergeCell ref="I9:J9"/>
    <mergeCell ref="K9:L9"/>
    <mergeCell ref="K17:L17"/>
    <mergeCell ref="N17:O17"/>
  </mergeCells>
  <hyperlinks>
    <hyperlink ref="G15:O15" location="Moedas!A1" display="MOEDA (B)" xr:uid="{00000000-0004-0000-0B00-000000000000}"/>
    <hyperlink ref="G5:O5" location="Moedas!A1" display="MOEDA (A)" xr:uid="{00000000-0004-0000-0B00-000001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Capa</vt:lpstr>
      <vt:lpstr>Bloomberg</vt:lpstr>
      <vt:lpstr>Cálculo de Taxas</vt:lpstr>
      <vt:lpstr>Contato de Clientes</vt:lpstr>
      <vt:lpstr>Conversor de Paridade (A)</vt:lpstr>
      <vt:lpstr>Conversor de Paridade (B)</vt:lpstr>
      <vt:lpstr>Datas - IR</vt:lpstr>
      <vt:lpstr>Diferença de Taxa</vt:lpstr>
      <vt:lpstr>Dolarizado</vt:lpstr>
      <vt:lpstr>Floating</vt:lpstr>
      <vt:lpstr>Lucro na Operação</vt:lpstr>
      <vt:lpstr>Moedas</vt:lpstr>
      <vt:lpstr>Notícias</vt:lpstr>
      <vt:lpstr>Operações Matemáticas</vt:lpstr>
      <vt:lpstr>Países Bloqueados</vt:lpstr>
      <vt:lpstr>Porcentagem</vt:lpstr>
      <vt:lpstr>Plan2</vt:lpstr>
      <vt:lpstr>Plan3</vt:lpstr>
      <vt:lpstr>Simulador de CDI (+)</vt:lpstr>
      <vt:lpstr>Simulador de CDI (-)</vt:lpstr>
      <vt:lpstr>Spreads</vt:lpstr>
      <vt:lpstr>Taxa Média</vt:lpstr>
      <vt:lpstr>Taxas Convertidas</vt:lpstr>
      <vt:lpstr>Trava</vt:lpstr>
    </vt:vector>
  </TitlesOfParts>
  <Company>Banco Bradesco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silde</cp:lastModifiedBy>
  <cp:lastPrinted>2017-03-07T20:31:19Z</cp:lastPrinted>
  <dcterms:created xsi:type="dcterms:W3CDTF">2014-04-09T13:51:54Z</dcterms:created>
  <dcterms:modified xsi:type="dcterms:W3CDTF">2019-05-12T20:27:48Z</dcterms:modified>
</cp:coreProperties>
</file>